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arta\Documents\ZP-6 MOST JASIENICA\poprawki 3\"/>
    </mc:Choice>
  </mc:AlternateContent>
  <xr:revisionPtr revIDLastSave="0" documentId="13_ncr:1_{A8142909-9176-418A-B881-7A5ED72D4B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szt ofertowy" sheetId="12" r:id="rId1"/>
  </sheets>
  <definedNames>
    <definedName name="_xlnm.Print_Area" localSheetId="0">'Koszt ofertowy'!$B$2:$I$188</definedName>
    <definedName name="_xlnm.Print_Titles" localSheetId="0">'Koszt ofertowy'!$2:$3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2" l="1"/>
  <c r="B179" i="12" l="1"/>
  <c r="G178" i="12"/>
  <c r="I178" i="12" s="1"/>
  <c r="I177" i="12"/>
  <c r="G177" i="12"/>
  <c r="B175" i="12"/>
  <c r="B174" i="12"/>
  <c r="I173" i="12"/>
  <c r="I172" i="12"/>
  <c r="I171" i="12"/>
  <c r="G171" i="12"/>
  <c r="G170" i="12"/>
  <c r="I170" i="12" s="1"/>
  <c r="B168" i="12"/>
  <c r="G166" i="12"/>
  <c r="G167" i="12" s="1"/>
  <c r="I167" i="12" s="1"/>
  <c r="I164" i="12"/>
  <c r="G164" i="12"/>
  <c r="G165" i="12" s="1"/>
  <c r="I165" i="12" s="1"/>
  <c r="B162" i="12"/>
  <c r="B161" i="12"/>
  <c r="I160" i="12"/>
  <c r="I161" i="12" s="1"/>
  <c r="G160" i="12"/>
  <c r="B158" i="12"/>
  <c r="G157" i="12"/>
  <c r="I157" i="12" s="1"/>
  <c r="G156" i="12"/>
  <c r="I156" i="12" s="1"/>
  <c r="I155" i="12"/>
  <c r="B153" i="12"/>
  <c r="G152" i="12"/>
  <c r="I152" i="12" s="1"/>
  <c r="I153" i="12" s="1"/>
  <c r="B150" i="12"/>
  <c r="I149" i="12"/>
  <c r="G148" i="12"/>
  <c r="I148" i="12" s="1"/>
  <c r="G147" i="12"/>
  <c r="I147" i="12" s="1"/>
  <c r="I146" i="12"/>
  <c r="I145" i="12"/>
  <c r="G144" i="12"/>
  <c r="I144" i="12" s="1"/>
  <c r="I143" i="12"/>
  <c r="B141" i="12"/>
  <c r="G140" i="12"/>
  <c r="I140" i="12" s="1"/>
  <c r="I141" i="12" s="1"/>
  <c r="B138" i="12"/>
  <c r="I137" i="12"/>
  <c r="I136" i="12"/>
  <c r="B134" i="12"/>
  <c r="G133" i="12"/>
  <c r="I133" i="12" s="1"/>
  <c r="I132" i="12"/>
  <c r="I131" i="12"/>
  <c r="G131" i="12"/>
  <c r="I130" i="12"/>
  <c r="G129" i="12"/>
  <c r="I129" i="12" s="1"/>
  <c r="I128" i="12"/>
  <c r="B126" i="12"/>
  <c r="I125" i="12"/>
  <c r="G125" i="12"/>
  <c r="I124" i="12"/>
  <c r="I126" i="12" s="1"/>
  <c r="B122" i="12"/>
  <c r="G120" i="12"/>
  <c r="G121" i="12" s="1"/>
  <c r="I121" i="12" s="1"/>
  <c r="G118" i="12"/>
  <c r="G119" i="12" s="1"/>
  <c r="I119" i="12" s="1"/>
  <c r="I116" i="12"/>
  <c r="B116" i="12"/>
  <c r="I115" i="12"/>
  <c r="B112" i="12"/>
  <c r="I111" i="12"/>
  <c r="I110" i="12"/>
  <c r="G109" i="12"/>
  <c r="I109" i="12" s="1"/>
  <c r="I108" i="12"/>
  <c r="G107" i="12"/>
  <c r="I107" i="12" s="1"/>
  <c r="B105" i="12"/>
  <c r="I104" i="12"/>
  <c r="G104" i="12"/>
  <c r="G103" i="12"/>
  <c r="I103" i="12" s="1"/>
  <c r="G101" i="12"/>
  <c r="G102" i="12" s="1"/>
  <c r="I102" i="12" s="1"/>
  <c r="G99" i="12"/>
  <c r="G100" i="12" s="1"/>
  <c r="I100" i="12" s="1"/>
  <c r="G98" i="12"/>
  <c r="I98" i="12" s="1"/>
  <c r="G97" i="12"/>
  <c r="I97" i="12" s="1"/>
  <c r="G96" i="12"/>
  <c r="I96" i="12" s="1"/>
  <c r="B94" i="12"/>
  <c r="I93" i="12"/>
  <c r="I92" i="12"/>
  <c r="G91" i="12"/>
  <c r="I91" i="12" s="1"/>
  <c r="B89" i="12"/>
  <c r="G84" i="12"/>
  <c r="G85" i="12" s="1"/>
  <c r="G83" i="12"/>
  <c r="I83" i="12" s="1"/>
  <c r="G82" i="12"/>
  <c r="I82" i="12" s="1"/>
  <c r="G81" i="12"/>
  <c r="I81" i="12" s="1"/>
  <c r="G80" i="12"/>
  <c r="B78" i="12"/>
  <c r="I77" i="12"/>
  <c r="I78" i="12" s="1"/>
  <c r="B74" i="12"/>
  <c r="B73" i="12"/>
  <c r="I72" i="12"/>
  <c r="G72" i="12"/>
  <c r="I71" i="12"/>
  <c r="I70" i="12"/>
  <c r="I69" i="12"/>
  <c r="I73" i="12" s="1"/>
  <c r="G69" i="12"/>
  <c r="B67" i="12"/>
  <c r="G65" i="12"/>
  <c r="G66" i="12" s="1"/>
  <c r="I66" i="12" s="1"/>
  <c r="I64" i="12"/>
  <c r="B62" i="12"/>
  <c r="G61" i="12"/>
  <c r="I61" i="12" s="1"/>
  <c r="G60" i="12"/>
  <c r="I60" i="12" s="1"/>
  <c r="I58" i="12"/>
  <c r="G58" i="12"/>
  <c r="B56" i="12"/>
  <c r="G55" i="12"/>
  <c r="I55" i="12" s="1"/>
  <c r="G54" i="12"/>
  <c r="I54" i="12" s="1"/>
  <c r="G53" i="12"/>
  <c r="I53" i="12" s="1"/>
  <c r="G52" i="12"/>
  <c r="I52" i="12" s="1"/>
  <c r="G51" i="12"/>
  <c r="I51" i="12" s="1"/>
  <c r="B49" i="12"/>
  <c r="B45" i="12"/>
  <c r="B44" i="12"/>
  <c r="G43" i="12"/>
  <c r="I43" i="12" s="1"/>
  <c r="I44" i="12" s="1"/>
  <c r="B41" i="12"/>
  <c r="G40" i="12"/>
  <c r="I40" i="12" s="1"/>
  <c r="I41" i="12" s="1"/>
  <c r="B38" i="12"/>
  <c r="G36" i="12"/>
  <c r="G37" i="12" s="1"/>
  <c r="I37" i="12" s="1"/>
  <c r="B33" i="12"/>
  <c r="I32" i="12"/>
  <c r="I31" i="12"/>
  <c r="I30" i="12"/>
  <c r="G30" i="12"/>
  <c r="G29" i="12"/>
  <c r="I29" i="12" s="1"/>
  <c r="B27" i="12"/>
  <c r="I26" i="12"/>
  <c r="I25" i="12"/>
  <c r="I24" i="12"/>
  <c r="B22" i="12"/>
  <c r="G15" i="12"/>
  <c r="G16" i="12" s="1"/>
  <c r="I16" i="12" s="1"/>
  <c r="G14" i="12"/>
  <c r="I14" i="12" s="1"/>
  <c r="B12" i="12"/>
  <c r="G11" i="12"/>
  <c r="I11" i="12" s="1"/>
  <c r="I10" i="12"/>
  <c r="B7" i="12"/>
  <c r="I6" i="12"/>
  <c r="B6" i="12"/>
  <c r="B10" i="12" s="1"/>
  <c r="B11" i="12" s="1"/>
  <c r="B14" i="12" s="1"/>
  <c r="B15" i="12" s="1"/>
  <c r="B16" i="12" s="1"/>
  <c r="B17" i="12" s="1"/>
  <c r="B18" i="12" s="1"/>
  <c r="B19" i="12" s="1"/>
  <c r="B20" i="12" s="1"/>
  <c r="B21" i="12" s="1"/>
  <c r="B24" i="12" s="1"/>
  <c r="B25" i="12" s="1"/>
  <c r="B26" i="12" s="1"/>
  <c r="B29" i="12" s="1"/>
  <c r="B30" i="12" s="1"/>
  <c r="B31" i="12" s="1"/>
  <c r="B32" i="12" s="1"/>
  <c r="B36" i="12" s="1"/>
  <c r="B37" i="12" s="1"/>
  <c r="B40" i="12" s="1"/>
  <c r="B43" i="12" s="1"/>
  <c r="B47" i="12" s="1"/>
  <c r="B48" i="12" s="1"/>
  <c r="B51" i="12" s="1"/>
  <c r="B52" i="12" s="1"/>
  <c r="B53" i="12" s="1"/>
  <c r="B54" i="12" s="1"/>
  <c r="B55" i="12" s="1"/>
  <c r="B58" i="12" s="1"/>
  <c r="B59" i="12" s="1"/>
  <c r="B60" i="12" s="1"/>
  <c r="B61" i="12" s="1"/>
  <c r="B64" i="12" s="1"/>
  <c r="B65" i="12" s="1"/>
  <c r="B66" i="12" s="1"/>
  <c r="B69" i="12" s="1"/>
  <c r="B70" i="12" s="1"/>
  <c r="B71" i="12" s="1"/>
  <c r="B72" i="12" s="1"/>
  <c r="B77" i="12" s="1"/>
  <c r="B80" i="12" s="1"/>
  <c r="B81" i="12" s="1"/>
  <c r="B82" i="12" s="1"/>
  <c r="B83" i="12" s="1"/>
  <c r="B84" i="12" s="1"/>
  <c r="B85" i="12" s="1"/>
  <c r="B86" i="12" s="1"/>
  <c r="B87" i="12" s="1"/>
  <c r="B88" i="12" s="1"/>
  <c r="B91" i="12" s="1"/>
  <c r="B92" i="12" s="1"/>
  <c r="B93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7" i="12" s="1"/>
  <c r="B108" i="12" s="1"/>
  <c r="B109" i="12" s="1"/>
  <c r="B110" i="12" s="1"/>
  <c r="B111" i="12" s="1"/>
  <c r="B115" i="12" s="1"/>
  <c r="B118" i="12" s="1"/>
  <c r="B119" i="12" s="1"/>
  <c r="B120" i="12" s="1"/>
  <c r="B121" i="12" s="1"/>
  <c r="B124" i="12" s="1"/>
  <c r="B125" i="12" s="1"/>
  <c r="B128" i="12" s="1"/>
  <c r="B129" i="12" s="1"/>
  <c r="B130" i="12" s="1"/>
  <c r="B131" i="12" s="1"/>
  <c r="B132" i="12" s="1"/>
  <c r="B133" i="12" s="1"/>
  <c r="B136" i="12" s="1"/>
  <c r="B137" i="12" s="1"/>
  <c r="B140" i="12" s="1"/>
  <c r="B143" i="12" s="1"/>
  <c r="B144" i="12" s="1"/>
  <c r="B145" i="12" s="1"/>
  <c r="B146" i="12" s="1"/>
  <c r="B147" i="12" s="1"/>
  <c r="B148" i="12" s="1"/>
  <c r="B149" i="12" s="1"/>
  <c r="B152" i="12" s="1"/>
  <c r="B155" i="12" s="1"/>
  <c r="B156" i="12" s="1"/>
  <c r="B157" i="12" s="1"/>
  <c r="B160" i="12" s="1"/>
  <c r="B164" i="12" s="1"/>
  <c r="B165" i="12" s="1"/>
  <c r="B166" i="12" s="1"/>
  <c r="B167" i="12" s="1"/>
  <c r="B170" i="12" s="1"/>
  <c r="B171" i="12" s="1"/>
  <c r="B172" i="12" s="1"/>
  <c r="B173" i="12" s="1"/>
  <c r="B177" i="12" s="1"/>
  <c r="B178" i="12" s="1"/>
  <c r="I5" i="12"/>
  <c r="G59" i="12" l="1"/>
  <c r="I59" i="12" s="1"/>
  <c r="I65" i="12"/>
  <c r="G87" i="12"/>
  <c r="I101" i="12"/>
  <c r="I118" i="12"/>
  <c r="I138" i="12"/>
  <c r="I179" i="12"/>
  <c r="I27" i="12"/>
  <c r="I174" i="12"/>
  <c r="I158" i="12"/>
  <c r="I134" i="12"/>
  <c r="I112" i="12"/>
  <c r="I33" i="12"/>
  <c r="I85" i="12"/>
  <c r="G86" i="12"/>
  <c r="I86" i="12" s="1"/>
  <c r="I150" i="12"/>
  <c r="I12" i="12"/>
  <c r="I62" i="12"/>
  <c r="I87" i="12"/>
  <c r="G88" i="12"/>
  <c r="I88" i="12" s="1"/>
  <c r="I56" i="12"/>
  <c r="I67" i="12"/>
  <c r="I94" i="12"/>
  <c r="I7" i="12"/>
  <c r="G47" i="12"/>
  <c r="I15" i="12"/>
  <c r="I36" i="12"/>
  <c r="I80" i="12"/>
  <c r="I84" i="12"/>
  <c r="I99" i="12"/>
  <c r="I105" i="12" s="1"/>
  <c r="I120" i="12"/>
  <c r="I122" i="12" s="1"/>
  <c r="I166" i="12"/>
  <c r="I168" i="12" s="1"/>
  <c r="G17" i="12"/>
  <c r="I175" i="12" l="1"/>
  <c r="I17" i="12"/>
  <c r="G18" i="12"/>
  <c r="I18" i="12" s="1"/>
  <c r="I162" i="12"/>
  <c r="G48" i="12"/>
  <c r="I48" i="12" s="1"/>
  <c r="I47" i="12"/>
  <c r="I49" i="12" s="1"/>
  <c r="I45" i="12"/>
  <c r="I38" i="12"/>
  <c r="G19" i="12"/>
  <c r="I89" i="12"/>
  <c r="G20" i="12" l="1"/>
  <c r="I20" i="12" s="1"/>
  <c r="G21" i="12"/>
  <c r="I21" i="12" s="1"/>
  <c r="I19" i="12"/>
  <c r="I74" i="12" s="1"/>
  <c r="I22" i="12" l="1"/>
</calcChain>
</file>

<file path=xl/sharedStrings.xml><?xml version="1.0" encoding="utf-8"?>
<sst xmlns="http://schemas.openxmlformats.org/spreadsheetml/2006/main" count="664" uniqueCount="330">
  <si>
    <t>nrPoz</t>
  </si>
  <si>
    <t>Nr pozycji</t>
  </si>
  <si>
    <t>podst</t>
  </si>
  <si>
    <t>Podstawa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</si>
  <si>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</si>
  <si>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</si>
  <si>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</si>
  <si>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</si>
  <si>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</si>
  <si>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</si>
  <si>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</si>
  <si>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</si>
  <si>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</si>
  <si>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</si>
  <si>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</si>
  <si>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</si>
  <si>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Wymagania ogólne</t>
  </si>
  <si>
    <t>U</t>
  </si>
  <si>
    <t>Wykonanie geodezyjnej dokumentacji powykonawczej</t>
  </si>
  <si>
    <t>ryczałt</t>
  </si>
  <si>
    <t>2</t>
  </si>
  <si>
    <t>kpl</t>
  </si>
  <si>
    <t>3</t>
  </si>
  <si>
    <t>Dojazdy</t>
  </si>
  <si>
    <t>2.1</t>
  </si>
  <si>
    <t>Roboty przygotowawcze</t>
  </si>
  <si>
    <t>4</t>
  </si>
  <si>
    <t>Roboty pomiarowe przy liniowych robotach ziemnych - trasa drogi w terenie pagórkowatym lub podgórskim</t>
  </si>
  <si>
    <t>km</t>
  </si>
  <si>
    <t>m</t>
  </si>
  <si>
    <t>2.2</t>
  </si>
  <si>
    <t>Roboty rozbiórkowe</t>
  </si>
  <si>
    <t>Roboty remontowe - cięcie piłą nawierzchni bitumicznych na gł. 6-10 cm</t>
  </si>
  <si>
    <t>Mechaniczne rozebranie nawierzchni z mieszanek mineralno-bitumicznych o grubości 3 cm</t>
  </si>
  <si>
    <t>m2</t>
  </si>
  <si>
    <t>Mechaniczne rozebranie podbudowy z kruszywa kamiennego o grubości 15 cm</t>
  </si>
  <si>
    <t>m3</t>
  </si>
  <si>
    <t>Wywiezienie gruzu z terenu rozbiórki przy mechanicznym załadowaniu i wyładowaniu samochodem samowyładowczym na odległo 1 km</t>
  </si>
  <si>
    <t>2.3</t>
  </si>
  <si>
    <t>Roboty ziemne</t>
  </si>
  <si>
    <t>Roboty ziemne wykonywane koparkami podsiębiernymi o poj.łyżki 0.60 m3 w gr.kat.III z transportem urobku samochodami samowyładowczymi na odległość do 1 km</t>
  </si>
  <si>
    <t>Formowanie i zagęszczanie nasypów o wys. do 3.0 m spycharkami w gruncie kat. III-IV WRAZ Z MATERIAŁEM</t>
  </si>
  <si>
    <t>szt.</t>
  </si>
  <si>
    <t>Obsypka rurociągu kruszywem dowiezionym</t>
  </si>
  <si>
    <t>szt</t>
  </si>
  <si>
    <t>Ścieki z prefabrykatów betonowych o grubości 15 cm na podsypce cementowo-piaskowej</t>
  </si>
  <si>
    <t>2.5</t>
  </si>
  <si>
    <t>Podbudowy</t>
  </si>
  <si>
    <t>2.5.1</t>
  </si>
  <si>
    <t>Korytowanie, profilowanie i zagęszczenie podłoża pod nawierzchnie na dojazdach</t>
  </si>
  <si>
    <t>Koryta gł. 30 cm wykonywane w gruntach kat. II-IV na poszerzeniach jezdni lub chodników</t>
  </si>
  <si>
    <t>2.5.2</t>
  </si>
  <si>
    <t>Warstwa dolna podbudowy z kruszyw naturalnych gr. 30 cm</t>
  </si>
  <si>
    <t>2.5.3</t>
  </si>
  <si>
    <t>Podbudowa z kruszywa łamanego stabilizowanego mechanicznie</t>
  </si>
  <si>
    <t>2.6</t>
  </si>
  <si>
    <t>Oczyszczenie i skropienie warstw konstrukcyjnych</t>
  </si>
  <si>
    <t>Oczyszczenie mechaniczne nawierzchni drogowych bitumicznych</t>
  </si>
  <si>
    <t>Skropienie asfaltem nawierzchni drogowych</t>
  </si>
  <si>
    <t>2.7</t>
  </si>
  <si>
    <t>Nawierzchnie</t>
  </si>
  <si>
    <t>2.8</t>
  </si>
  <si>
    <t>Elementy ulic</t>
  </si>
  <si>
    <t>Rowki pod krawężniki i ławy krawężnikowe o wymiarach 30x40 cm w gruncie kat.III-IV</t>
  </si>
  <si>
    <t>Ława pod krawężniki betonowa z oporem</t>
  </si>
  <si>
    <t>2.9</t>
  </si>
  <si>
    <t>Most</t>
  </si>
  <si>
    <t>3.1</t>
  </si>
  <si>
    <t>Obsługa geodezyjna</t>
  </si>
  <si>
    <t>3.2</t>
  </si>
  <si>
    <t>Demontaż poręczy mostowych</t>
  </si>
  <si>
    <t>t</t>
  </si>
  <si>
    <t>Załadowanie gruzu koparko-ładowarką przy obsłudze na zmianę roboczą przez 3 samochody samowyładowcze</t>
  </si>
  <si>
    <t>Transport złomu samochodem skrzyniowym z załadunkiem i wyładunkiem mechanicznym na odległość do 1 km</t>
  </si>
  <si>
    <t>3.3</t>
  </si>
  <si>
    <t>Ręczne zasypywanie wnęk za ścianami budowli inżynieryjnych przy wys. zasypania do 4 m wraz z dostarczeniem ziemi; zagęszczanie mechaniczne, grunt kat.III UWAGA: WRAZ Z MATERIAŁEM ZASYPKOWYM</t>
  </si>
  <si>
    <t>3.5</t>
  </si>
  <si>
    <t>Podkłady betonowe na podłożu gruntowym, GR. 15CM, BETON C8/10</t>
  </si>
  <si>
    <t>Przygotowanie zbrojenia na budowie ściany i skrzydełka - pręty o śr. 16-20 mm</t>
  </si>
  <si>
    <t>Montaż zbrojenia ściany i skrzydełka - pręty o śr. 16-20 mm</t>
  </si>
  <si>
    <t>Betonowanie przy użyciu pompy na samochodzie - płyty,ławy i ciosy podłożyskowe ŁAWY FUNDAMENTOWE BETON C30/37</t>
  </si>
  <si>
    <t>3.6</t>
  </si>
  <si>
    <t>Przygotowanie zbrojenia na budowie prętami o śr. 16-32 mm płyt ustrojów niosących pełnych bez wsporników</t>
  </si>
  <si>
    <t>Przygotowanie zbrojenia na budowie prętami o śr. 10-28 mm wsporników i gzymsów</t>
  </si>
  <si>
    <t>Montaż zbrojenia prętami o śr. 16-32 mm płyt ustrojów niosących pełnych bez wsporników</t>
  </si>
  <si>
    <t>Montaż zbrojenia prętami o śr. 10-28 mm wsporników i gzymsów</t>
  </si>
  <si>
    <t>Dostawa i montaż kotew talerzowych</t>
  </si>
  <si>
    <t>3.7</t>
  </si>
  <si>
    <t>Wyposażenie</t>
  </si>
  <si>
    <t>3.7.1</t>
  </si>
  <si>
    <t>Łożyska garnkowe</t>
  </si>
  <si>
    <t>Montaż łożysk o masie do 2.0 t</t>
  </si>
  <si>
    <t>3.7.2</t>
  </si>
  <si>
    <t>Izolacje</t>
  </si>
  <si>
    <t>Izolacje przeciwwilgociowe powłokowe bitumiczne - wykonywane na zimno - pionowe z roztworu asfaltowego - pierwsza warstwa - powierzchnia w jednym miejscu do 100 m2</t>
  </si>
  <si>
    <t>Izolacje przeciwwilgociowe powłokowe bitumiczne - wykonywane na zimno - pionowe z roztworu asfaltowego - każda następna warstwa - powierzchnia w jednym miejscu do 100 m2</t>
  </si>
  <si>
    <t>Przygotowanie poziomych i pionowych powierzchni elementów mostów pod izolacje - ręczne oczyszczenie powierzchni</t>
  </si>
  <si>
    <t>3.7.3</t>
  </si>
  <si>
    <t>Odwodnienie ustroju niosącego</t>
  </si>
  <si>
    <t>Wykonanie elementów odwodnienia ustrojów niosących - sączki odwadniające</t>
  </si>
  <si>
    <t>elem.</t>
  </si>
  <si>
    <t>Ułożenie drenażu podłużnego w osi odwodnienia, z wyprowadzeniem drenów do sączków, z geowłókniny w otoczce z kruszywa bazaltowego w kompozycji epoksydowej lub drenażu z tworzywa sztucznego w geowłókninie</t>
  </si>
  <si>
    <t>3.7.4</t>
  </si>
  <si>
    <t>Płyty przejściowe</t>
  </si>
  <si>
    <t>Deskowanie tradycyjne - płyty fundamentowe</t>
  </si>
  <si>
    <t>Betonowanie przy użyciu pompy na samochodzie - stopy,płyty i ławy fundamentowe BETON C30/37</t>
  </si>
  <si>
    <t>3.7.5</t>
  </si>
  <si>
    <t>Drenaż za płytami przejściowymi</t>
  </si>
  <si>
    <t>Ułożenie drenażu z rur z tworzyw sztucznych w zwojach o śr. nom. 100-125 mm</t>
  </si>
  <si>
    <t>3.7.6</t>
  </si>
  <si>
    <t>Krawężnik  kamienny</t>
  </si>
  <si>
    <t>3.7.7</t>
  </si>
  <si>
    <t>Kapy chodnikowe</t>
  </si>
  <si>
    <t>Betonowanie przy użyciu pompy na samochodzie - stopy,płyty i ławy fundamentowe - PODWALINA POD KAPY NA PARII SKRZYDEŁ Z BETONU C12/15</t>
  </si>
  <si>
    <t>Dostawa i montaż desek gzymsowych polimerobetonowych 60x100x4cm</t>
  </si>
  <si>
    <t>Deskowanie tradycyjne - wsporniki i gzymsy</t>
  </si>
  <si>
    <t>Betonowanie przy użyciu pompy na samochodzie wsporników i gzymsów BETON C30/37</t>
  </si>
  <si>
    <t>3.7.8</t>
  </si>
  <si>
    <t>Bariery ochronne</t>
  </si>
  <si>
    <t>Montaż barier sprężystych jednostronnych - odcinki proste</t>
  </si>
  <si>
    <t>3.7.9</t>
  </si>
  <si>
    <t>Nawierzchnie z mieszanek mineralno-bitumicznych asfaltowych o grubości 4 cm (warstwa wiążąca)</t>
  </si>
  <si>
    <t>3.7.10</t>
  </si>
  <si>
    <t>Dylatacje</t>
  </si>
  <si>
    <t>Wykonanie dylatacji bitumicznej na jezdni i chodnikach o szer. 50cm</t>
  </si>
  <si>
    <t>3.8</t>
  </si>
  <si>
    <t>Zabezpieczenie antykorozyjne powierzchni betonowych powłoką akrylową</t>
  </si>
  <si>
    <t>Wykonanie powłok malarskich akrylowych - gruntowanie powierzchni stropowych</t>
  </si>
  <si>
    <t>Wykonanie powłok malarskich akrylowych - malowanie dwukrotne powierzchni stropowych PŁYTA</t>
  </si>
  <si>
    <t>Wykonanie powłok malarskich akrylowych - gruntowanie powierzchni pionowych</t>
  </si>
  <si>
    <t>3.9</t>
  </si>
  <si>
    <t>Obrukowanie stożków i skarp</t>
  </si>
  <si>
    <t>Budowle o obj. 1.01-10.0 m3 elementy betonowe - PODWALINA BETON C25/30</t>
  </si>
  <si>
    <t>Umocnienie skarp i dna rowów brukiem na podsypce cementowo-piaskowej GR. 25CM</t>
  </si>
  <si>
    <t>Prace wykończeniowe</t>
  </si>
  <si>
    <t>Plantowanie skarp i korony nasypów - kat.gr.I-III</t>
  </si>
  <si>
    <t>Humusowanie skarp z obsianiem przy grub.warstwy humusu 5 cm</t>
  </si>
  <si>
    <t>Umocnienia</t>
  </si>
  <si>
    <t>Wykonanie nadwodnego narzutu kamiennego luzem z brzegu KAMIEŃ TYPU CIĘŻKIEGO D&gt;0,5m</t>
  </si>
  <si>
    <t>Razem netto</t>
  </si>
  <si>
    <t>Vat 23%</t>
  </si>
  <si>
    <t>Razem Brutto</t>
  </si>
  <si>
    <t xml:space="preserve">KNR 4-04 1102-0 </t>
  </si>
  <si>
    <t>KNR 2-01 0119-04</t>
  </si>
  <si>
    <t>KNR AT-03 0101-02</t>
  </si>
  <si>
    <t>KNR 2-31 0803-03</t>
  </si>
  <si>
    <t>KNR 2-31 0803-04</t>
  </si>
  <si>
    <t>KNR 2-31 0802-07</t>
  </si>
  <si>
    <t>KNR 2-31 0802-08</t>
  </si>
  <si>
    <t>KNR 4-04 1103-01</t>
  </si>
  <si>
    <t xml:space="preserve">KNR 4-04 1103-04 </t>
  </si>
  <si>
    <t>KNR 2-01 0206-04</t>
  </si>
  <si>
    <t>KNR 2-01 0235-02</t>
  </si>
  <si>
    <t>KNR 2-02 1101-01</t>
  </si>
  <si>
    <t>KNR 2-31 0606-03</t>
  </si>
  <si>
    <t>KNNR 6 0102-03</t>
  </si>
  <si>
    <t xml:space="preserve">KNNR 6 0112-03 </t>
  </si>
  <si>
    <t xml:space="preserve">KNNR 6 0113-05 </t>
  </si>
  <si>
    <t>KNNR 6 1005-06</t>
  </si>
  <si>
    <t>KNNR 6 1005-07</t>
  </si>
  <si>
    <t>KNNR 6 0308-02</t>
  </si>
  <si>
    <t xml:space="preserve">KNNR 6 0309-02 </t>
  </si>
  <si>
    <t>KNNR 6 0204-05</t>
  </si>
  <si>
    <t>KNR 2-31 0401-06</t>
  </si>
  <si>
    <t xml:space="preserve">KNR 2-31 0402-04 </t>
  </si>
  <si>
    <t xml:space="preserve">KNNR 6 0705-02 </t>
  </si>
  <si>
    <t xml:space="preserve">KNR 2-33 0702-03 </t>
  </si>
  <si>
    <t>KNR 2-33 0808-06</t>
  </si>
  <si>
    <t>KNR 4-04 1103-05</t>
  </si>
  <si>
    <t xml:space="preserve">KNR 4-04 1107-03 </t>
  </si>
  <si>
    <t xml:space="preserve">KNR 4-04 1107-04 </t>
  </si>
  <si>
    <t xml:space="preserve">KNNR 1 0320-05 </t>
  </si>
  <si>
    <t xml:space="preserve">KNR 2-02 1101-01 </t>
  </si>
  <si>
    <t>KNR 2-33 0207-15</t>
  </si>
  <si>
    <t>KNR 2-33 0208-15</t>
  </si>
  <si>
    <t xml:space="preserve">KNR 2-33 0203-02 </t>
  </si>
  <si>
    <t xml:space="preserve">KNR 2-33 0210-01 </t>
  </si>
  <si>
    <t>KNR 2-33 0210-05</t>
  </si>
  <si>
    <t>KNR 2-33 0402-01</t>
  </si>
  <si>
    <t>KNR 2-33 0404-03</t>
  </si>
  <si>
    <t>KNR 2-33 0404-10</t>
  </si>
  <si>
    <t>KNR 2-33 0405-03</t>
  </si>
  <si>
    <t xml:space="preserve">KNR 2-33 0405-12 </t>
  </si>
  <si>
    <t xml:space="preserve">KNR 2-33 0409-01 </t>
  </si>
  <si>
    <t>KNR 2-33 0211-01</t>
  </si>
  <si>
    <t xml:space="preserve">KNR 2-33 0713-23 </t>
  </si>
  <si>
    <t>KNR 2-33 0713-19</t>
  </si>
  <si>
    <t xml:space="preserve">KNR 2-33 0712-02 </t>
  </si>
  <si>
    <t>KNR 2-33 0716-02</t>
  </si>
  <si>
    <t xml:space="preserve">KNR 2-33 0705-01 </t>
  </si>
  <si>
    <t xml:space="preserve">KNR 2-33 0203-01 </t>
  </si>
  <si>
    <t xml:space="preserve">KNR 2-33 0404-03 </t>
  </si>
  <si>
    <t xml:space="preserve">KNR 2-33 0210-02 </t>
  </si>
  <si>
    <t xml:space="preserve">KNR 2-33 0717-01 </t>
  </si>
  <si>
    <t xml:space="preserve">KNR 2-28 0703-03 </t>
  </si>
  <si>
    <t>KNR 2-28 0501-09</t>
  </si>
  <si>
    <t xml:space="preserve">KNR 2-33 0706-01 </t>
  </si>
  <si>
    <t xml:space="preserve">KNR 2-33 0401-03 </t>
  </si>
  <si>
    <t xml:space="preserve">KNR 2-33 0707-04 </t>
  </si>
  <si>
    <t xml:space="preserve">KNR 2-33 0409-05 </t>
  </si>
  <si>
    <t>KNR 2-33 0702-04</t>
  </si>
  <si>
    <t xml:space="preserve">KNNR 6 0308-01 </t>
  </si>
  <si>
    <t xml:space="preserve">KNR K-01 0115-02 </t>
  </si>
  <si>
    <t xml:space="preserve">KNR K-01 0115-04 </t>
  </si>
  <si>
    <t>KNR K-01 0115-01</t>
  </si>
  <si>
    <t xml:space="preserve">KNR K-01 0115-03 </t>
  </si>
  <si>
    <t>KNR 2-11 0208-03</t>
  </si>
  <si>
    <t xml:space="preserve">KNR-W 2-01 0516-04 </t>
  </si>
  <si>
    <t xml:space="preserve">KNR 2-01 0506-07 </t>
  </si>
  <si>
    <t xml:space="preserve">KNR 2-01 0510-01 </t>
  </si>
  <si>
    <t xml:space="preserve">KNR 2-01 0510-02 </t>
  </si>
  <si>
    <t xml:space="preserve">KNNR 10 0401-08 </t>
  </si>
  <si>
    <t>kalk. własna</t>
  </si>
  <si>
    <t>Zabezpieczenie izolacji przed uszkodzeniem - pozioma warstwa ochronna cementowa grubości 4 cm ANALOGIA: WARSTWA OCHRONNA IZOLACJI PŁYT PRZEJŚCIOWYCH Z BETONU C12/15 GR. 5CM Krotność=1,25</t>
  </si>
  <si>
    <t>Mechaniczne rozebranie konstrukcji mostowych żelbetowych PODPORY WRAZ Z FUNDAMENTAMI</t>
  </si>
  <si>
    <t>Montaż krawężników na prostej - KRAWĘŻNIK KAMIENNY 20X20cm KOTWIONY, NA ZAPRAWIE NISKOSKURCZOWEJ</t>
  </si>
  <si>
    <t>Wykonanie powłok malarskich akrylowych - malowanie dwukrotne powierzchni pionowych PODPORY</t>
  </si>
  <si>
    <t>Podpory</t>
  </si>
  <si>
    <t>KNNR 6 0110-02</t>
  </si>
  <si>
    <t>Mechaniczne rozebranie podbudowy z kruszywa kamiennego - dalszy 1 cm grubości, Krotność=15</t>
  </si>
  <si>
    <t>Mechaniczne rozebranie nawierzchni z mieszanek mineralno-bitumicznych - dalszy 1 cm grubości, Krotność=7</t>
  </si>
  <si>
    <t>Wywiezienie gruzu z terenu rozbiórki przy mechanicznym załadowaniu i ręcznym wyładowaniu samochodem cieżarowym - dodatek za każdy następny rozpoczęty 1 km, Krotność=9</t>
  </si>
  <si>
    <t>Wywiezienie gruzu z terenu rozbiórki przy mechanicznym załadowaniu i wyładowaniu samochodem samowyładowczym - dodatek za każdy następny rozpoczęty 1 km, Krotność=5</t>
  </si>
  <si>
    <t>Transport złomu samochodem skrzyniowym - dodatek za każdy rozpoczęty km ponad 1 km, Krotność=5</t>
  </si>
  <si>
    <t>Betonowanie przy użyciu pompy na samochodzie - podpory, ściany oporowe i mury pachwinowe KORPUSY I SKRZYDŁA, BETON C30/37</t>
  </si>
  <si>
    <t>ANALOGIA: Izolacja z papy termozgrzewalnej gr. 5mm - płyta ustroju niosącego i płyty przejciowe</t>
  </si>
  <si>
    <t>SST</t>
  </si>
  <si>
    <t>Demontaż rusztu stalowego</t>
  </si>
  <si>
    <t>M.11.01.00</t>
  </si>
  <si>
    <t>M.11.01.04</t>
  </si>
  <si>
    <t xml:space="preserve">D-01.01.01a </t>
  </si>
  <si>
    <t>D-M-00.00.00</t>
  </si>
  <si>
    <t xml:space="preserve">D-01.00.00  </t>
  </si>
  <si>
    <t>D-02.00.00</t>
  </si>
  <si>
    <t>D-04.01.01</t>
  </si>
  <si>
    <t xml:space="preserve">D-04.04.00a </t>
  </si>
  <si>
    <t xml:space="preserve">D-04.04.02a </t>
  </si>
  <si>
    <t xml:space="preserve">D-04.03.01a </t>
  </si>
  <si>
    <t xml:space="preserve">D-04.07.01a </t>
  </si>
  <si>
    <t xml:space="preserve">D-05.03.05b </t>
  </si>
  <si>
    <t xml:space="preserve">D-05.03.05a </t>
  </si>
  <si>
    <t xml:space="preserve">D-06.03.01a </t>
  </si>
  <si>
    <t xml:space="preserve">D-08.01.02a </t>
  </si>
  <si>
    <t xml:space="preserve">D-07.02.01  </t>
  </si>
  <si>
    <t xml:space="preserve">D-07.01.01  </t>
  </si>
  <si>
    <t xml:space="preserve">D-07.05.01  </t>
  </si>
  <si>
    <t>D-06.01.01</t>
  </si>
  <si>
    <t>M-13.02.00</t>
  </si>
  <si>
    <t>M-12.01.00</t>
  </si>
  <si>
    <t>M-13.01.00</t>
  </si>
  <si>
    <t>M-15.01.02</t>
  </si>
  <si>
    <t>M-15.02.03</t>
  </si>
  <si>
    <t>M-13.03.01a</t>
  </si>
  <si>
    <t>M.16.01.03a</t>
  </si>
  <si>
    <t>M-16.01.02b</t>
  </si>
  <si>
    <t>M-19.01.01a</t>
  </si>
  <si>
    <t>M.20.01.04</t>
  </si>
  <si>
    <t>Montaż rur PCV śr.110mm w chodnikach</t>
  </si>
  <si>
    <t>M.18.01.03a</t>
  </si>
  <si>
    <t>M.17.01.02</t>
  </si>
  <si>
    <t>M.20.03.01</t>
  </si>
  <si>
    <t>M.20.01.11g</t>
  </si>
  <si>
    <t xml:space="preserve">M.20.04.04 </t>
  </si>
  <si>
    <t>KNR 2-01 0126-01</t>
  </si>
  <si>
    <t>Usunięcie warstwy ziemi urodzajnej (humusu) o grubości do 15 cm za pomocą spycharek</t>
  </si>
  <si>
    <t>KNR 2-31 0103-04</t>
  </si>
  <si>
    <t>Mechaniczne profilowanie i zagęszczenie podłoża pod warstwy konstrukcyjne nawierzchni w gruncie kat. I-IV</t>
  </si>
  <si>
    <t>Podłoże ulepszone</t>
  </si>
  <si>
    <t>Podbudowy z mieszanek mineralno-bitumicznych asfaltowych gr. 7 cm</t>
  </si>
  <si>
    <t>2.4</t>
  </si>
  <si>
    <t>KNR 2-31 0702-02</t>
  </si>
  <si>
    <t>Słupki do znaków drogowych z rur stalowych o śr. 70 mm</t>
  </si>
  <si>
    <t>KNR 2-31 0703-01</t>
  </si>
  <si>
    <t>Przymocowanie tablic znaków drogowych zakazu, nakazu, ostrzegawczych, informacyjnych</t>
  </si>
  <si>
    <t>Wprowadzenie docelowej organizacji ruchu i montaż urządzeń BRD</t>
  </si>
  <si>
    <t>Bariery ochronne stalowe jednostronne o masie 24.0 kg/m</t>
  </si>
  <si>
    <t>KNR 2-31 0704-01</t>
  </si>
  <si>
    <t>Mechaniczne rozebranie konstrukcji mostowych żelbetowych - PŁYTA</t>
  </si>
  <si>
    <t>M.21.01.04</t>
  </si>
  <si>
    <t xml:space="preserve">Deskowanie płytami inwentaryzowanymi i sklejką - płyty ustrojów niosących </t>
  </si>
  <si>
    <t>Przygotowanie zbrojenia na budowie prętami o śr. 16-32 mm płyt ustrojów niosących</t>
  </si>
  <si>
    <t>M-19.01.03</t>
  </si>
  <si>
    <t>Nawierzchnie z mieszanek mineralno-bitumicznych asfaltowych o grubości 5 cm (warstwa ścieralna)</t>
  </si>
  <si>
    <t>45221111-3</t>
  </si>
  <si>
    <t>45246400-7</t>
  </si>
  <si>
    <t>45233140-2</t>
  </si>
  <si>
    <t>45110000-1</t>
  </si>
  <si>
    <t>Humusowanie skarp z obsianiem dodatek za każde następne 5 cm humusu</t>
  </si>
  <si>
    <t>KNR 2-33 0207-02</t>
  </si>
  <si>
    <t>Przygotowanie zbrojenia na budowie fundamenty podpór - pręty o śr. do 16-20 mm</t>
  </si>
  <si>
    <t>KNR 2-33 0208-02</t>
  </si>
  <si>
    <t>Montaż zbrojenia fundamenty podpór - pręty o śr. do 16-20 mm</t>
  </si>
  <si>
    <t>KNR 2-33 0203-01</t>
  </si>
  <si>
    <t>M-15.03.01</t>
  </si>
  <si>
    <t>Nawierzchnie z tłucznia kamiennego - warstwa górna o gr. 10 cm + 10cm destrukt + skropienie POBOCZA</t>
  </si>
  <si>
    <t>Deskowanie tradycyjne - podpory masywne, ściany oporowe i ściany maskujące o wysokości do 4 m KORPUSY I SKRZYDŁA</t>
  </si>
  <si>
    <t xml:space="preserve">Nawierzchnie z mieszanek mineralno-bitumicznych asfaltowych o grubości 6 cm (warstwa wiążca) </t>
  </si>
  <si>
    <t xml:space="preserve">Nawierzchnie z mieszanek mineralno-bitumicznych asfaltowych o grubości 5 cm (warstwa ścieralna) </t>
  </si>
  <si>
    <t>Warstwa górna podbudowy z kruszyw łamanych gr. 20 cm - JEZDNIA I CHODNIK</t>
  </si>
  <si>
    <t>Oznakowanie poziome jezdni - linie segregacyjne i krawędziowe ciągłe malowane mechanicznie</t>
  </si>
  <si>
    <t>Odwodnienie</t>
  </si>
  <si>
    <t>2.10</t>
  </si>
  <si>
    <t>KNNR 1 0318-04</t>
  </si>
  <si>
    <t>Zasypywanie wykopów o ścianach pionowych o szerokości 0.8-2.5 m i głęb.do 3.0 m w gr.kat. IV POSPÓŁKA</t>
  </si>
  <si>
    <t>Kanały z rur PP SN8 łączonych na wcisk o śr. zewn. 200 mm</t>
  </si>
  <si>
    <t>Kanały z rur PP SN8 łączonych na wcisk o śr. zewn. 500 mm</t>
  </si>
  <si>
    <t>KNR-W 2-18 0408-03</t>
  </si>
  <si>
    <t>KNR-W 2-18 0408-07</t>
  </si>
  <si>
    <t>Studnie rewizyjne z kręgów betonowych o śr. 1000 mm w gotowym wykopie o głębok. 3m</t>
  </si>
  <si>
    <t>KNR-W 2-18 0513-01</t>
  </si>
  <si>
    <t>Studzienki ściekowe z gotowych elementów betonowe o śr. 500 mm z osadnikiem bez syfonu</t>
  </si>
  <si>
    <t>KNR 2-18 0625-02</t>
  </si>
  <si>
    <t>Chodniki z kostki brukowej betonowej grubości 6 cm na podsypce piaskowej z wypełnieniem spoin piaskiem</t>
  </si>
  <si>
    <t>KNNR 6 0502-01</t>
  </si>
  <si>
    <t>Krawężniki betonowe wystające o wymiarach 20x30 cm na podsypce cementowo-piaskowej</t>
  </si>
  <si>
    <t>KNR 2-31 0403-04</t>
  </si>
  <si>
    <t>Obrzeża betonowe o wymiarach 30x8 cm na podsypce cementowo-piaskowej z wypełnieniem spoin zaprawą cementową</t>
  </si>
  <si>
    <t>KNR 2-31 0407-05</t>
  </si>
  <si>
    <t>KNR 9-06 0101-06</t>
  </si>
  <si>
    <t>Wbijanie ścianek szczelnych stalowych z grodzic G-62 wibromłotem HVB; głębokość wbicia do 8 m, grunt kat. IV, wraz z wyciągnięciem ŚCIANKA TYMCZASOWA</t>
  </si>
  <si>
    <t>Ustrój nośny</t>
  </si>
  <si>
    <t>Wykonanie nawierzchni na bazie emulsji modyfikowanej polimerami i kruszywa - chodniki</t>
  </si>
  <si>
    <t>Regulacja pionowa studzienek dla studzienek telefonicznych</t>
  </si>
  <si>
    <t>KNR 2-31 1406-05</t>
  </si>
  <si>
    <t>D-03.02.01</t>
  </si>
  <si>
    <t>D-05.03.23</t>
  </si>
  <si>
    <t>D-08.03.01</t>
  </si>
  <si>
    <t>KOSZTORYS OFERTOWY                                                                                                                                                                                    ROZBIÓRKA ISTNIEJĄCEGO MOSTU O JNI 01016704 I BUDOWA NOWEGO MOSTU  W CIĄGU DROGI POWIATOWEJ K1935 MYŚLENICE - BYSINA - JASIENICA W M. JASIENICA  KM 5+600 WRAZ Z DOJAZDAMI</t>
  </si>
  <si>
    <t>Betonowanie przy użyciu pompy na samochodzie płyt ustrojów niosących bez wsporników pełnych BETON C40/50</t>
  </si>
  <si>
    <t>Wyznaczenie objazdu wraz z oznakowaniem oraz wykonanie, utrzymanie i rozbiórka tymczasowej kładki dla pieszych, przełożenie gazociągu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</si>
</sst>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.00;;"/>
    <numFmt numFmtId="165" formatCode="0.000"/>
    <numFmt numFmtId="166" formatCode="0.0"/>
    <numFmt numFmtId="167" formatCode="#,##0.00_ ;\-#,##0.00\ "/>
    <numFmt numFmtId="168" formatCode="###\ ##0.00;;"/>
  </numFmts>
  <fonts count="9" x14ac:knownFonts="1">
    <font>
      <sz val="10"/>
      <color indexed="64"/>
      <name val="Arial"/>
      <charset val="1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2" fontId="0" fillId="0" borderId="0" xfId="0" applyNumberFormat="1"/>
    <xf numFmtId="0" fontId="7" fillId="0" borderId="0" xfId="0" applyNumberFormat="1" applyFont="1" applyFill="1"/>
    <xf numFmtId="2" fontId="7" fillId="0" borderId="0" xfId="0" applyNumberFormat="1" applyFont="1" applyFill="1"/>
    <xf numFmtId="0" fontId="8" fillId="0" borderId="0" xfId="0" applyNumberFormat="1" applyFont="1"/>
    <xf numFmtId="0" fontId="8" fillId="0" borderId="0" xfId="0" applyFont="1"/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6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6" fillId="2" borderId="16" xfId="0" applyNumberFormat="1" applyFont="1" applyFill="1" applyBorder="1" applyAlignment="1">
      <alignment vertical="center" wrapText="1"/>
    </xf>
    <xf numFmtId="0" fontId="6" fillId="2" borderId="19" xfId="0" applyNumberFormat="1" applyFont="1" applyFill="1" applyBorder="1" applyAlignment="1">
      <alignment vertical="center" wrapText="1"/>
    </xf>
    <xf numFmtId="0" fontId="6" fillId="2" borderId="16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NumberFormat="1" applyFont="1" applyFill="1" applyBorder="1" applyAlignment="1">
      <alignment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1" fontId="6" fillId="2" borderId="11" xfId="0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0" fontId="6" fillId="2" borderId="21" xfId="0" applyNumberFormat="1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6" fillId="2" borderId="13" xfId="0" applyNumberFormat="1" applyFont="1" applyFill="1" applyBorder="1" applyAlignment="1">
      <alignment horizontal="left" vertical="center" wrapText="1"/>
    </xf>
    <xf numFmtId="1" fontId="6" fillId="2" borderId="16" xfId="0" applyNumberFormat="1" applyFont="1" applyFill="1" applyBorder="1" applyAlignment="1">
      <alignment horizontal="right" vertical="center" wrapText="1"/>
    </xf>
    <xf numFmtId="164" fontId="6" fillId="2" borderId="16" xfId="0" applyNumberFormat="1" applyFont="1" applyFill="1" applyBorder="1" applyAlignment="1">
      <alignment horizontal="right" vertical="center" wrapText="1"/>
    </xf>
    <xf numFmtId="2" fontId="6" fillId="2" borderId="5" xfId="0" applyNumberFormat="1" applyFont="1" applyFill="1" applyBorder="1" applyAlignment="1">
      <alignment horizontal="right" vertical="center" wrapText="1"/>
    </xf>
    <xf numFmtId="0" fontId="5" fillId="2" borderId="6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168" fontId="6" fillId="2" borderId="1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/>
    <xf numFmtId="167" fontId="5" fillId="2" borderId="9" xfId="0" applyNumberFormat="1" applyFont="1" applyFill="1" applyBorder="1" applyAlignment="1">
      <alignment horizontal="right" vertical="center" wrapText="1"/>
    </xf>
    <xf numFmtId="167" fontId="5" fillId="2" borderId="1" xfId="0" applyNumberFormat="1" applyFont="1" applyFill="1" applyBorder="1" applyAlignment="1">
      <alignment horizontal="right" vertical="center" wrapText="1"/>
    </xf>
    <xf numFmtId="0" fontId="5" fillId="2" borderId="17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5" fillId="2" borderId="2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Alignment="1">
      <alignment horizontal="right" vertical="center" wrapText="1"/>
    </xf>
    <xf numFmtId="0" fontId="5" fillId="2" borderId="15" xfId="0" applyNumberFormat="1" applyFont="1" applyFill="1" applyBorder="1" applyAlignment="1">
      <alignment horizontal="right" vertical="center" wrapText="1"/>
    </xf>
    <xf numFmtId="0" fontId="5" fillId="2" borderId="14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right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horizontal="right" vertical="center" wrapText="1"/>
    </xf>
    <xf numFmtId="0" fontId="5" fillId="2" borderId="11" xfId="0" applyNumberFormat="1" applyFont="1" applyFill="1" applyBorder="1" applyAlignment="1">
      <alignment horizontal="right" vertical="center" wrapText="1"/>
    </xf>
    <xf numFmtId="0" fontId="5" fillId="2" borderId="12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O188"/>
  <sheetViews>
    <sheetView tabSelected="1" topLeftCell="B92" zoomScaleNormal="100" workbookViewId="0">
      <selection activeCell="K182" sqref="K182"/>
    </sheetView>
  </sheetViews>
  <sheetFormatPr defaultRowHeight="12.75" x14ac:dyDescent="0.2"/>
  <cols>
    <col min="1" max="1" width="9.140625" style="1" hidden="1" customWidth="1"/>
    <col min="2" max="2" width="6.85546875" style="1" customWidth="1"/>
    <col min="3" max="3" width="10.42578125" style="1" customWidth="1"/>
    <col min="4" max="4" width="12.85546875" style="1" customWidth="1"/>
    <col min="5" max="5" width="40" style="1" customWidth="1"/>
    <col min="6" max="6" width="7.140625" style="1" customWidth="1"/>
    <col min="7" max="7" width="9" style="4" customWidth="1"/>
    <col min="8" max="8" width="10.5703125" style="5" customWidth="1"/>
    <col min="9" max="9" width="12.140625" style="1" customWidth="1"/>
    <col min="10" max="10" width="12" customWidth="1"/>
    <col min="14" max="14" width="22.140625" customWidth="1"/>
  </cols>
  <sheetData>
    <row r="1" spans="1:15" s="1" customFormat="1" hidden="1" x14ac:dyDescent="0.2">
      <c r="B1" s="1" t="s">
        <v>0</v>
      </c>
      <c r="D1" s="1" t="s">
        <v>2</v>
      </c>
      <c r="E1" s="1" t="s">
        <v>4</v>
      </c>
      <c r="F1" s="1" t="s">
        <v>6</v>
      </c>
      <c r="G1" s="4" t="s">
        <v>8</v>
      </c>
      <c r="H1" s="5" t="s">
        <v>10</v>
      </c>
      <c r="I1" s="1" t="s">
        <v>12</v>
      </c>
    </row>
    <row r="2" spans="1:15" ht="47.25" customHeight="1" x14ac:dyDescent="0.2">
      <c r="B2" s="75" t="s">
        <v>327</v>
      </c>
      <c r="C2" s="75"/>
      <c r="D2" s="75"/>
      <c r="E2" s="75"/>
      <c r="F2" s="75"/>
      <c r="G2" s="75"/>
      <c r="H2" s="75"/>
      <c r="I2" s="75"/>
    </row>
    <row r="3" spans="1:15" ht="25.5" x14ac:dyDescent="0.2">
      <c r="B3" s="14" t="s">
        <v>1</v>
      </c>
      <c r="C3" s="14" t="s">
        <v>226</v>
      </c>
      <c r="D3" s="15" t="s">
        <v>3</v>
      </c>
      <c r="E3" s="16" t="s">
        <v>5</v>
      </c>
      <c r="F3" s="16" t="s">
        <v>7</v>
      </c>
      <c r="G3" s="17" t="s">
        <v>9</v>
      </c>
      <c r="H3" s="16" t="s">
        <v>11</v>
      </c>
      <c r="I3" s="16" t="s">
        <v>13</v>
      </c>
      <c r="N3" s="8"/>
    </row>
    <row r="4" spans="1:15" s="2" customFormat="1" ht="11.25" customHeight="1" x14ac:dyDescent="0.2">
      <c r="A4" s="2" t="s">
        <v>14</v>
      </c>
      <c r="B4" s="18" t="s">
        <v>15</v>
      </c>
      <c r="C4" s="19"/>
      <c r="D4" s="20" t="s">
        <v>285</v>
      </c>
      <c r="E4" s="21" t="s">
        <v>16</v>
      </c>
      <c r="F4" s="21"/>
      <c r="G4" s="21"/>
      <c r="H4" s="21"/>
      <c r="I4" s="22"/>
      <c r="N4" s="8"/>
      <c r="O4" s="3"/>
    </row>
    <row r="5" spans="1:15" s="3" customFormat="1" x14ac:dyDescent="0.2">
      <c r="A5" s="3" t="s">
        <v>17</v>
      </c>
      <c r="B5" s="23" t="s">
        <v>15</v>
      </c>
      <c r="C5" s="23" t="s">
        <v>230</v>
      </c>
      <c r="D5" s="24" t="s">
        <v>212</v>
      </c>
      <c r="E5" s="25" t="s">
        <v>18</v>
      </c>
      <c r="F5" s="23" t="s">
        <v>19</v>
      </c>
      <c r="G5" s="26">
        <v>1</v>
      </c>
      <c r="H5" s="27"/>
      <c r="I5" s="27">
        <f>ROUND(G5*H5,2)</f>
        <v>0</v>
      </c>
      <c r="N5" s="8"/>
    </row>
    <row r="6" spans="1:15" s="3" customFormat="1" ht="33.75" x14ac:dyDescent="0.2">
      <c r="A6" s="3" t="s">
        <v>17</v>
      </c>
      <c r="B6" s="25">
        <f>B5+1</f>
        <v>2</v>
      </c>
      <c r="C6" s="23" t="s">
        <v>231</v>
      </c>
      <c r="D6" s="23" t="s">
        <v>212</v>
      </c>
      <c r="E6" s="25" t="s">
        <v>329</v>
      </c>
      <c r="F6" s="23" t="s">
        <v>21</v>
      </c>
      <c r="G6" s="26">
        <v>1</v>
      </c>
      <c r="H6" s="27"/>
      <c r="I6" s="27">
        <f>ROUND(G6*H6,2)</f>
        <v>0</v>
      </c>
    </row>
    <row r="7" spans="1:15" s="2" customFormat="1" ht="11.25" x14ac:dyDescent="0.2">
      <c r="B7" s="86" t="str">
        <f>CONCATENATE("Razem - ",E4)</f>
        <v>Razem - Wymagania ogólne</v>
      </c>
      <c r="C7" s="81"/>
      <c r="D7" s="80"/>
      <c r="E7" s="81"/>
      <c r="F7" s="81"/>
      <c r="G7" s="81"/>
      <c r="H7" s="81"/>
      <c r="I7" s="28">
        <f>SUM(I5:I6)</f>
        <v>0</v>
      </c>
      <c r="N7" s="3"/>
    </row>
    <row r="8" spans="1:15" s="2" customFormat="1" ht="11.25" x14ac:dyDescent="0.2">
      <c r="A8" s="2" t="s">
        <v>14</v>
      </c>
      <c r="B8" s="18" t="s">
        <v>20</v>
      </c>
      <c r="C8" s="19"/>
      <c r="D8" s="20" t="s">
        <v>285</v>
      </c>
      <c r="E8" s="21" t="s">
        <v>23</v>
      </c>
      <c r="F8" s="21"/>
      <c r="G8" s="21"/>
      <c r="H8" s="21"/>
      <c r="I8" s="22"/>
      <c r="N8" s="3"/>
    </row>
    <row r="9" spans="1:15" s="2" customFormat="1" ht="11.25" customHeight="1" x14ac:dyDescent="0.2">
      <c r="A9" s="2" t="s">
        <v>14</v>
      </c>
      <c r="B9" s="18" t="s">
        <v>24</v>
      </c>
      <c r="C9" s="19"/>
      <c r="D9" s="20" t="s">
        <v>285</v>
      </c>
      <c r="E9" s="21" t="s">
        <v>25</v>
      </c>
      <c r="F9" s="21"/>
      <c r="G9" s="21"/>
      <c r="H9" s="29"/>
      <c r="I9" s="30"/>
    </row>
    <row r="10" spans="1:15" s="3" customFormat="1" ht="22.5" x14ac:dyDescent="0.2">
      <c r="A10" s="3" t="s">
        <v>17</v>
      </c>
      <c r="B10" s="25">
        <f>B6+1</f>
        <v>3</v>
      </c>
      <c r="C10" s="31" t="s">
        <v>230</v>
      </c>
      <c r="D10" s="32" t="s">
        <v>143</v>
      </c>
      <c r="E10" s="33" t="s">
        <v>27</v>
      </c>
      <c r="F10" s="31" t="s">
        <v>28</v>
      </c>
      <c r="G10" s="34">
        <v>7.0000000000000007E-2</v>
      </c>
      <c r="H10" s="35"/>
      <c r="I10" s="35">
        <f>ROUND(G10*H10,2)</f>
        <v>0</v>
      </c>
      <c r="N10" s="2"/>
    </row>
    <row r="11" spans="1:15" s="3" customFormat="1" ht="22.5" x14ac:dyDescent="0.2">
      <c r="B11" s="25">
        <f>B10+1</f>
        <v>4</v>
      </c>
      <c r="C11" s="36" t="s">
        <v>232</v>
      </c>
      <c r="D11" s="36" t="s">
        <v>263</v>
      </c>
      <c r="E11" s="37" t="s">
        <v>264</v>
      </c>
      <c r="F11" s="36" t="s">
        <v>34</v>
      </c>
      <c r="G11" s="38">
        <f>120+120+40+20+12</f>
        <v>312</v>
      </c>
      <c r="H11" s="35"/>
      <c r="I11" s="35">
        <f>ROUND(G11*H11,2)</f>
        <v>0</v>
      </c>
    </row>
    <row r="12" spans="1:15" s="2" customFormat="1" ht="11.25" x14ac:dyDescent="0.2">
      <c r="B12" s="84" t="str">
        <f>CONCATENATE("Razem - ",E9)</f>
        <v>Razem - Roboty przygotowawcze</v>
      </c>
      <c r="C12" s="85"/>
      <c r="D12" s="89"/>
      <c r="E12" s="85"/>
      <c r="F12" s="85"/>
      <c r="G12" s="85"/>
      <c r="H12" s="85"/>
      <c r="I12" s="39">
        <f>SUM(I10:I11)</f>
        <v>0</v>
      </c>
    </row>
    <row r="13" spans="1:15" s="2" customFormat="1" ht="11.25" customHeight="1" x14ac:dyDescent="0.2">
      <c r="A13" s="2" t="s">
        <v>14</v>
      </c>
      <c r="B13" s="18" t="s">
        <v>30</v>
      </c>
      <c r="C13" s="19"/>
      <c r="D13" s="20" t="s">
        <v>286</v>
      </c>
      <c r="E13" s="21" t="s">
        <v>31</v>
      </c>
      <c r="F13" s="21"/>
      <c r="G13" s="21"/>
      <c r="H13" s="21"/>
      <c r="I13" s="22"/>
    </row>
    <row r="14" spans="1:15" s="3" customFormat="1" ht="22.5" x14ac:dyDescent="0.2">
      <c r="A14" s="3" t="s">
        <v>17</v>
      </c>
      <c r="B14" s="25">
        <f>B11+1</f>
        <v>5</v>
      </c>
      <c r="C14" s="36" t="s">
        <v>232</v>
      </c>
      <c r="D14" s="24" t="s">
        <v>144</v>
      </c>
      <c r="E14" s="25" t="s">
        <v>32</v>
      </c>
      <c r="F14" s="23" t="s">
        <v>29</v>
      </c>
      <c r="G14" s="40">
        <f>6+5.6+3</f>
        <v>14.6</v>
      </c>
      <c r="H14" s="27"/>
      <c r="I14" s="27">
        <f t="shared" ref="I14:I21" si="0">ROUND(G14*H14,2)</f>
        <v>0</v>
      </c>
    </row>
    <row r="15" spans="1:15" s="3" customFormat="1" ht="22.5" x14ac:dyDescent="0.2">
      <c r="A15" s="3" t="s">
        <v>17</v>
      </c>
      <c r="B15" s="25">
        <f t="shared" ref="B15:B21" si="1">B14+1</f>
        <v>6</v>
      </c>
      <c r="C15" s="36" t="s">
        <v>232</v>
      </c>
      <c r="D15" s="23" t="s">
        <v>145</v>
      </c>
      <c r="E15" s="25" t="s">
        <v>33</v>
      </c>
      <c r="F15" s="23" t="s">
        <v>34</v>
      </c>
      <c r="G15" s="40">
        <f>340+46</f>
        <v>386</v>
      </c>
      <c r="H15" s="27"/>
      <c r="I15" s="27">
        <f t="shared" si="0"/>
        <v>0</v>
      </c>
    </row>
    <row r="16" spans="1:15" s="3" customFormat="1" ht="33.75" x14ac:dyDescent="0.2">
      <c r="A16" s="3" t="s">
        <v>17</v>
      </c>
      <c r="B16" s="25">
        <f t="shared" si="1"/>
        <v>7</v>
      </c>
      <c r="C16" s="36" t="s">
        <v>232</v>
      </c>
      <c r="D16" s="23" t="s">
        <v>146</v>
      </c>
      <c r="E16" s="25" t="s">
        <v>220</v>
      </c>
      <c r="F16" s="23" t="s">
        <v>34</v>
      </c>
      <c r="G16" s="40">
        <f>G15</f>
        <v>386</v>
      </c>
      <c r="H16" s="27"/>
      <c r="I16" s="27">
        <f t="shared" si="0"/>
        <v>0</v>
      </c>
    </row>
    <row r="17" spans="1:11" s="3" customFormat="1" ht="22.5" x14ac:dyDescent="0.2">
      <c r="A17" s="3" t="s">
        <v>17</v>
      </c>
      <c r="B17" s="25">
        <f t="shared" si="1"/>
        <v>8</v>
      </c>
      <c r="C17" s="36" t="s">
        <v>232</v>
      </c>
      <c r="D17" s="23" t="s">
        <v>147</v>
      </c>
      <c r="E17" s="25" t="s">
        <v>35</v>
      </c>
      <c r="F17" s="23" t="s">
        <v>34</v>
      </c>
      <c r="G17" s="40">
        <f>G15*1.05</f>
        <v>405.3</v>
      </c>
      <c r="H17" s="27"/>
      <c r="I17" s="27">
        <f t="shared" si="0"/>
        <v>0</v>
      </c>
    </row>
    <row r="18" spans="1:11" s="3" customFormat="1" ht="22.5" x14ac:dyDescent="0.2">
      <c r="A18" s="3" t="s">
        <v>17</v>
      </c>
      <c r="B18" s="25">
        <f t="shared" si="1"/>
        <v>9</v>
      </c>
      <c r="C18" s="36" t="s">
        <v>232</v>
      </c>
      <c r="D18" s="23" t="s">
        <v>148</v>
      </c>
      <c r="E18" s="25" t="s">
        <v>219</v>
      </c>
      <c r="F18" s="23" t="s">
        <v>34</v>
      </c>
      <c r="G18" s="40">
        <f>G17</f>
        <v>405.3</v>
      </c>
      <c r="H18" s="27"/>
      <c r="I18" s="27">
        <f t="shared" si="0"/>
        <v>0</v>
      </c>
    </row>
    <row r="19" spans="1:11" s="3" customFormat="1" ht="33.75" x14ac:dyDescent="0.2">
      <c r="A19" s="3" t="s">
        <v>17</v>
      </c>
      <c r="B19" s="25">
        <f>B18+1</f>
        <v>10</v>
      </c>
      <c r="C19" s="36" t="s">
        <v>232</v>
      </c>
      <c r="D19" s="23" t="s">
        <v>149</v>
      </c>
      <c r="E19" s="25" t="s">
        <v>72</v>
      </c>
      <c r="F19" s="23" t="s">
        <v>36</v>
      </c>
      <c r="G19" s="40">
        <f>G15*0.1+G17*0.3</f>
        <v>160.19</v>
      </c>
      <c r="H19" s="27"/>
      <c r="I19" s="27">
        <f t="shared" si="0"/>
        <v>0</v>
      </c>
    </row>
    <row r="20" spans="1:11" s="3" customFormat="1" ht="33.75" x14ac:dyDescent="0.2">
      <c r="A20" s="3" t="s">
        <v>17</v>
      </c>
      <c r="B20" s="25">
        <f t="shared" si="1"/>
        <v>11</v>
      </c>
      <c r="C20" s="36" t="s">
        <v>232</v>
      </c>
      <c r="D20" s="23" t="s">
        <v>150</v>
      </c>
      <c r="E20" s="25" t="s">
        <v>37</v>
      </c>
      <c r="F20" s="23" t="s">
        <v>36</v>
      </c>
      <c r="G20" s="40">
        <f>G19</f>
        <v>160.19</v>
      </c>
      <c r="H20" s="27"/>
      <c r="I20" s="27">
        <f t="shared" si="0"/>
        <v>0</v>
      </c>
    </row>
    <row r="21" spans="1:11" s="3" customFormat="1" ht="45" x14ac:dyDescent="0.2">
      <c r="A21" s="3" t="s">
        <v>17</v>
      </c>
      <c r="B21" s="25">
        <f t="shared" si="1"/>
        <v>12</v>
      </c>
      <c r="C21" s="36" t="s">
        <v>232</v>
      </c>
      <c r="D21" s="23" t="s">
        <v>142</v>
      </c>
      <c r="E21" s="25" t="s">
        <v>221</v>
      </c>
      <c r="F21" s="23" t="s">
        <v>36</v>
      </c>
      <c r="G21" s="40">
        <f>G19</f>
        <v>160.19</v>
      </c>
      <c r="H21" s="27"/>
      <c r="I21" s="27">
        <f t="shared" si="0"/>
        <v>0</v>
      </c>
    </row>
    <row r="22" spans="1:11" s="2" customFormat="1" ht="11.25" x14ac:dyDescent="0.2">
      <c r="B22" s="86" t="str">
        <f>CONCATENATE("Razem - ",E13)</f>
        <v>Razem - Roboty rozbiórkowe</v>
      </c>
      <c r="C22" s="81"/>
      <c r="D22" s="80"/>
      <c r="E22" s="81"/>
      <c r="F22" s="81"/>
      <c r="G22" s="81"/>
      <c r="H22" s="81"/>
      <c r="I22" s="28">
        <f>SUM(I14:I21)</f>
        <v>0</v>
      </c>
    </row>
    <row r="23" spans="1:11" s="2" customFormat="1" ht="11.25" x14ac:dyDescent="0.2">
      <c r="A23" s="2" t="s">
        <v>14</v>
      </c>
      <c r="B23" s="18" t="s">
        <v>38</v>
      </c>
      <c r="C23" s="19"/>
      <c r="D23" s="20" t="s">
        <v>285</v>
      </c>
      <c r="E23" s="21" t="s">
        <v>39</v>
      </c>
      <c r="F23" s="21"/>
      <c r="G23" s="21"/>
      <c r="H23" s="21"/>
      <c r="I23" s="22"/>
    </row>
    <row r="24" spans="1:11" s="3" customFormat="1" ht="45" x14ac:dyDescent="0.2">
      <c r="A24" s="3" t="s">
        <v>17</v>
      </c>
      <c r="B24" s="25">
        <f>B21+1</f>
        <v>13</v>
      </c>
      <c r="C24" s="25" t="s">
        <v>233</v>
      </c>
      <c r="D24" s="24" t="s">
        <v>151</v>
      </c>
      <c r="E24" s="25" t="s">
        <v>40</v>
      </c>
      <c r="F24" s="23" t="s">
        <v>36</v>
      </c>
      <c r="G24" s="26">
        <f>81*2+8.5*1+7*3+3*2+50</f>
        <v>247.5</v>
      </c>
      <c r="H24" s="27"/>
      <c r="I24" s="27">
        <f>ROUND(G24*H24,2)</f>
        <v>0</v>
      </c>
      <c r="K24" s="9"/>
    </row>
    <row r="25" spans="1:11" s="3" customFormat="1" ht="33.75" x14ac:dyDescent="0.2">
      <c r="B25" s="25">
        <f>B24+1</f>
        <v>14</v>
      </c>
      <c r="C25" s="25"/>
      <c r="D25" s="24" t="s">
        <v>302</v>
      </c>
      <c r="E25" s="25" t="s">
        <v>303</v>
      </c>
      <c r="F25" s="23" t="s">
        <v>36</v>
      </c>
      <c r="G25" s="26">
        <v>198</v>
      </c>
      <c r="H25" s="27"/>
      <c r="I25" s="27">
        <f>ROUND(G25*H25,2)</f>
        <v>0</v>
      </c>
      <c r="K25" s="9"/>
    </row>
    <row r="26" spans="1:11" s="3" customFormat="1" ht="27.75" customHeight="1" x14ac:dyDescent="0.2">
      <c r="A26" s="3" t="s">
        <v>17</v>
      </c>
      <c r="B26" s="25">
        <f>B25+1</f>
        <v>15</v>
      </c>
      <c r="C26" s="25" t="s">
        <v>233</v>
      </c>
      <c r="D26" s="23" t="s">
        <v>152</v>
      </c>
      <c r="E26" s="25" t="s">
        <v>41</v>
      </c>
      <c r="F26" s="23" t="s">
        <v>36</v>
      </c>
      <c r="G26" s="26">
        <v>110</v>
      </c>
      <c r="H26" s="27"/>
      <c r="I26" s="27">
        <f>ROUND(G26*H26,2)</f>
        <v>0</v>
      </c>
    </row>
    <row r="27" spans="1:11" s="2" customFormat="1" ht="11.25" x14ac:dyDescent="0.2">
      <c r="B27" s="86" t="str">
        <f>CONCATENATE("Razem - ",E23)</f>
        <v>Razem - Roboty ziemne</v>
      </c>
      <c r="C27" s="80"/>
      <c r="D27" s="80"/>
      <c r="E27" s="81"/>
      <c r="F27" s="81"/>
      <c r="G27" s="81"/>
      <c r="H27" s="81"/>
      <c r="I27" s="28">
        <f>SUM(I24:I26)</f>
        <v>0</v>
      </c>
    </row>
    <row r="28" spans="1:11" s="2" customFormat="1" ht="11.25" x14ac:dyDescent="0.2">
      <c r="B28" s="19" t="s">
        <v>269</v>
      </c>
      <c r="C28" s="41"/>
      <c r="D28" s="20" t="s">
        <v>285</v>
      </c>
      <c r="E28" s="29" t="s">
        <v>300</v>
      </c>
      <c r="F28" s="42"/>
      <c r="G28" s="42"/>
      <c r="H28" s="42"/>
      <c r="I28" s="43"/>
    </row>
    <row r="29" spans="1:11" s="2" customFormat="1" ht="22.5" x14ac:dyDescent="0.2">
      <c r="B29" s="25">
        <f>B26+1</f>
        <v>16</v>
      </c>
      <c r="C29" s="37" t="s">
        <v>324</v>
      </c>
      <c r="D29" s="23" t="s">
        <v>306</v>
      </c>
      <c r="E29" s="25" t="s">
        <v>304</v>
      </c>
      <c r="F29" s="23" t="s">
        <v>29</v>
      </c>
      <c r="G29" s="23">
        <f>3+2+1.5+2</f>
        <v>8.5</v>
      </c>
      <c r="H29" s="27"/>
      <c r="I29" s="27">
        <f t="shared" ref="I29:I32" si="2">ROUND(G29*H29,2)</f>
        <v>0</v>
      </c>
    </row>
    <row r="30" spans="1:11" s="2" customFormat="1" ht="22.5" x14ac:dyDescent="0.2">
      <c r="B30" s="25">
        <f>B29+1</f>
        <v>17</v>
      </c>
      <c r="C30" s="37" t="s">
        <v>324</v>
      </c>
      <c r="D30" s="23" t="s">
        <v>307</v>
      </c>
      <c r="E30" s="25" t="s">
        <v>305</v>
      </c>
      <c r="F30" s="23" t="s">
        <v>29</v>
      </c>
      <c r="G30" s="23">
        <f>6+12+14+25+6+4.3+13.7</f>
        <v>81</v>
      </c>
      <c r="H30" s="27"/>
      <c r="I30" s="27">
        <f t="shared" si="2"/>
        <v>0</v>
      </c>
    </row>
    <row r="31" spans="1:11" s="2" customFormat="1" ht="22.5" x14ac:dyDescent="0.2">
      <c r="B31" s="25">
        <f t="shared" ref="B31:B32" si="3">B30+1</f>
        <v>18</v>
      </c>
      <c r="C31" s="37" t="s">
        <v>324</v>
      </c>
      <c r="D31" s="23" t="s">
        <v>311</v>
      </c>
      <c r="E31" s="25" t="s">
        <v>310</v>
      </c>
      <c r="F31" s="23" t="s">
        <v>44</v>
      </c>
      <c r="G31" s="23">
        <v>3</v>
      </c>
      <c r="H31" s="27"/>
      <c r="I31" s="27">
        <f t="shared" si="2"/>
        <v>0</v>
      </c>
    </row>
    <row r="32" spans="1:11" s="2" customFormat="1" ht="22.5" x14ac:dyDescent="0.2">
      <c r="B32" s="25">
        <f t="shared" si="3"/>
        <v>19</v>
      </c>
      <c r="C32" s="37" t="s">
        <v>324</v>
      </c>
      <c r="D32" s="23" t="s">
        <v>309</v>
      </c>
      <c r="E32" s="25" t="s">
        <v>308</v>
      </c>
      <c r="F32" s="23" t="s">
        <v>44</v>
      </c>
      <c r="G32" s="23">
        <v>7</v>
      </c>
      <c r="H32" s="27"/>
      <c r="I32" s="27">
        <f t="shared" si="2"/>
        <v>0</v>
      </c>
    </row>
    <row r="33" spans="1:9" s="2" customFormat="1" ht="11.25" customHeight="1" x14ac:dyDescent="0.2">
      <c r="B33" s="86" t="str">
        <f>CONCATENATE("Razem - ",E28)</f>
        <v>Razem - Odwodnienie</v>
      </c>
      <c r="C33" s="81"/>
      <c r="D33" s="80"/>
      <c r="E33" s="81"/>
      <c r="F33" s="81"/>
      <c r="G33" s="81"/>
      <c r="H33" s="81"/>
      <c r="I33" s="28">
        <f>SUM(I29:I32)</f>
        <v>0</v>
      </c>
    </row>
    <row r="34" spans="1:9" s="2" customFormat="1" ht="11.25" x14ac:dyDescent="0.2">
      <c r="A34" s="2" t="s">
        <v>14</v>
      </c>
      <c r="B34" s="44" t="s">
        <v>46</v>
      </c>
      <c r="C34" s="45"/>
      <c r="D34" s="20" t="s">
        <v>285</v>
      </c>
      <c r="E34" s="46" t="s">
        <v>47</v>
      </c>
      <c r="F34" s="46"/>
      <c r="G34" s="46"/>
      <c r="H34" s="46"/>
      <c r="I34" s="47"/>
    </row>
    <row r="35" spans="1:9" s="2" customFormat="1" ht="11.25" customHeight="1" x14ac:dyDescent="0.2">
      <c r="A35" s="2" t="s">
        <v>14</v>
      </c>
      <c r="B35" s="18" t="s">
        <v>48</v>
      </c>
      <c r="C35" s="19"/>
      <c r="D35" s="20" t="s">
        <v>285</v>
      </c>
      <c r="E35" s="73" t="s">
        <v>49</v>
      </c>
      <c r="F35" s="74"/>
      <c r="G35" s="74"/>
      <c r="H35" s="74"/>
      <c r="I35" s="92"/>
    </row>
    <row r="36" spans="1:9" s="3" customFormat="1" ht="22.5" x14ac:dyDescent="0.2">
      <c r="A36" s="3" t="s">
        <v>17</v>
      </c>
      <c r="B36" s="25">
        <f>B32+1</f>
        <v>20</v>
      </c>
      <c r="C36" s="25" t="s">
        <v>234</v>
      </c>
      <c r="D36" s="24" t="s">
        <v>155</v>
      </c>
      <c r="E36" s="25" t="s">
        <v>50</v>
      </c>
      <c r="F36" s="23" t="s">
        <v>34</v>
      </c>
      <c r="G36" s="26">
        <f>ROUND(8.8*(58.74-16.2)+51,0)</f>
        <v>425</v>
      </c>
      <c r="H36" s="27"/>
      <c r="I36" s="27">
        <f>ROUND(G36*H36,2)</f>
        <v>0</v>
      </c>
    </row>
    <row r="37" spans="1:9" s="3" customFormat="1" ht="33.75" x14ac:dyDescent="0.2">
      <c r="A37" s="3" t="s">
        <v>17</v>
      </c>
      <c r="B37" s="25">
        <f>B36+1</f>
        <v>21</v>
      </c>
      <c r="C37" s="25" t="s">
        <v>234</v>
      </c>
      <c r="D37" s="23" t="s">
        <v>265</v>
      </c>
      <c r="E37" s="25" t="s">
        <v>266</v>
      </c>
      <c r="F37" s="23" t="s">
        <v>34</v>
      </c>
      <c r="G37" s="26">
        <f>G36</f>
        <v>425</v>
      </c>
      <c r="H37" s="27"/>
      <c r="I37" s="27">
        <f>ROUND(G37*H37,2)</f>
        <v>0</v>
      </c>
    </row>
    <row r="38" spans="1:9" s="2" customFormat="1" ht="11.25" x14ac:dyDescent="0.2">
      <c r="B38" s="86" t="str">
        <f>CONCATENATE("Razem - ",E35)</f>
        <v>Razem - Korytowanie, profilowanie i zagęszczenie podłoża pod nawierzchnie na dojazdach</v>
      </c>
      <c r="C38" s="81"/>
      <c r="D38" s="80"/>
      <c r="E38" s="80"/>
      <c r="F38" s="80"/>
      <c r="G38" s="80"/>
      <c r="H38" s="80"/>
      <c r="I38" s="43">
        <f>SUM(I36:I37)</f>
        <v>0</v>
      </c>
    </row>
    <row r="39" spans="1:9" s="2" customFormat="1" ht="11.25" customHeight="1" x14ac:dyDescent="0.2">
      <c r="A39" s="2" t="s">
        <v>14</v>
      </c>
      <c r="B39" s="18" t="s">
        <v>51</v>
      </c>
      <c r="C39" s="19"/>
      <c r="D39" s="20" t="s">
        <v>285</v>
      </c>
      <c r="E39" s="48" t="s">
        <v>267</v>
      </c>
      <c r="F39" s="49"/>
      <c r="G39" s="49"/>
      <c r="H39" s="49"/>
      <c r="I39" s="50"/>
    </row>
    <row r="40" spans="1:9" s="3" customFormat="1" ht="22.5" x14ac:dyDescent="0.2">
      <c r="A40" s="3" t="s">
        <v>17</v>
      </c>
      <c r="B40" s="25">
        <f>B37+1</f>
        <v>22</v>
      </c>
      <c r="C40" s="37" t="s">
        <v>235</v>
      </c>
      <c r="D40" s="51" t="s">
        <v>156</v>
      </c>
      <c r="E40" s="52" t="s">
        <v>52</v>
      </c>
      <c r="F40" s="24" t="s">
        <v>34</v>
      </c>
      <c r="G40" s="53">
        <f>ROUND(8.8*(58.74-16.2)+51,0)</f>
        <v>425</v>
      </c>
      <c r="H40" s="54"/>
      <c r="I40" s="54">
        <f>ROUND(G40*H40,2)</f>
        <v>0</v>
      </c>
    </row>
    <row r="41" spans="1:9" s="2" customFormat="1" ht="11.25" x14ac:dyDescent="0.2">
      <c r="B41" s="84" t="str">
        <f>CONCATENATE("Razem - ",E39)</f>
        <v>Razem - Podłoże ulepszone</v>
      </c>
      <c r="C41" s="85"/>
      <c r="D41" s="80"/>
      <c r="E41" s="81"/>
      <c r="F41" s="81"/>
      <c r="G41" s="81"/>
      <c r="H41" s="81"/>
      <c r="I41" s="28">
        <f>SUM(I40:I40)</f>
        <v>0</v>
      </c>
    </row>
    <row r="42" spans="1:9" s="2" customFormat="1" ht="11.25" customHeight="1" x14ac:dyDescent="0.2">
      <c r="A42" s="2" t="s">
        <v>14</v>
      </c>
      <c r="B42" s="18" t="s">
        <v>53</v>
      </c>
      <c r="C42" s="19"/>
      <c r="D42" s="20" t="s">
        <v>285</v>
      </c>
      <c r="E42" s="74" t="s">
        <v>54</v>
      </c>
      <c r="F42" s="74"/>
      <c r="G42" s="74"/>
      <c r="H42" s="74"/>
      <c r="I42" s="92"/>
    </row>
    <row r="43" spans="1:9" s="3" customFormat="1" ht="22.5" x14ac:dyDescent="0.2">
      <c r="A43" s="3" t="s">
        <v>17</v>
      </c>
      <c r="B43" s="25">
        <f>B40+1</f>
        <v>23</v>
      </c>
      <c r="C43" s="55" t="s">
        <v>236</v>
      </c>
      <c r="D43" s="24" t="s">
        <v>157</v>
      </c>
      <c r="E43" s="25" t="s">
        <v>298</v>
      </c>
      <c r="F43" s="23" t="s">
        <v>34</v>
      </c>
      <c r="G43" s="26">
        <f>ROUND(7.9*(58.74-16.2)+(58.74-20.5)*1.8+48,0)</f>
        <v>453</v>
      </c>
      <c r="H43" s="27"/>
      <c r="I43" s="27">
        <f>ROUND(G43*H43,2)</f>
        <v>0</v>
      </c>
    </row>
    <row r="44" spans="1:9" s="2" customFormat="1" ht="11.25" x14ac:dyDescent="0.2">
      <c r="B44" s="93" t="str">
        <f>CONCATENATE("Razem - ",E42)</f>
        <v>Razem - Podbudowa z kruszywa łamanego stabilizowanego mechanicznie</v>
      </c>
      <c r="C44" s="89"/>
      <c r="D44" s="80"/>
      <c r="E44" s="80"/>
      <c r="F44" s="80"/>
      <c r="G44" s="80"/>
      <c r="H44" s="80"/>
      <c r="I44" s="43">
        <f>SUM(I43:I43)</f>
        <v>0</v>
      </c>
    </row>
    <row r="45" spans="1:9" s="2" customFormat="1" ht="11.25" x14ac:dyDescent="0.2">
      <c r="B45" s="94" t="str">
        <f>CONCATENATE("Razem - ",E34)</f>
        <v>Razem - Podbudowy</v>
      </c>
      <c r="C45" s="95"/>
      <c r="D45" s="95"/>
      <c r="E45" s="95"/>
      <c r="F45" s="95"/>
      <c r="G45" s="95"/>
      <c r="H45" s="95"/>
      <c r="I45" s="56">
        <f>SUM(I36:I37,I40:I40,I43:I43)</f>
        <v>0</v>
      </c>
    </row>
    <row r="46" spans="1:9" s="2" customFormat="1" ht="11.25" customHeight="1" x14ac:dyDescent="0.2">
      <c r="A46" s="2" t="s">
        <v>14</v>
      </c>
      <c r="B46" s="44" t="s">
        <v>55</v>
      </c>
      <c r="C46" s="45"/>
      <c r="D46" s="57" t="s">
        <v>285</v>
      </c>
      <c r="E46" s="78" t="s">
        <v>56</v>
      </c>
      <c r="F46" s="79"/>
      <c r="G46" s="79"/>
      <c r="H46" s="79"/>
      <c r="I46" s="87"/>
    </row>
    <row r="47" spans="1:9" s="3" customFormat="1" ht="22.5" x14ac:dyDescent="0.2">
      <c r="A47" s="3" t="s">
        <v>17</v>
      </c>
      <c r="B47" s="25">
        <f>B43+1</f>
        <v>24</v>
      </c>
      <c r="C47" s="25" t="s">
        <v>237</v>
      </c>
      <c r="D47" s="24" t="s">
        <v>158</v>
      </c>
      <c r="E47" s="25" t="s">
        <v>57</v>
      </c>
      <c r="F47" s="23" t="s">
        <v>34</v>
      </c>
      <c r="G47" s="26">
        <f>G51+G52+G43</f>
        <v>1107</v>
      </c>
      <c r="H47" s="27"/>
      <c r="I47" s="27">
        <f>ROUND(G47*H47,2)</f>
        <v>0</v>
      </c>
    </row>
    <row r="48" spans="1:9" s="3" customFormat="1" ht="11.25" x14ac:dyDescent="0.2">
      <c r="A48" s="3" t="s">
        <v>17</v>
      </c>
      <c r="B48" s="25">
        <f>B47+1</f>
        <v>25</v>
      </c>
      <c r="C48" s="25" t="s">
        <v>237</v>
      </c>
      <c r="D48" s="23" t="s">
        <v>159</v>
      </c>
      <c r="E48" s="25" t="s">
        <v>58</v>
      </c>
      <c r="F48" s="23" t="s">
        <v>34</v>
      </c>
      <c r="G48" s="26">
        <f>G47</f>
        <v>1107</v>
      </c>
      <c r="H48" s="27"/>
      <c r="I48" s="27">
        <f>ROUND(G48*H48,2)</f>
        <v>0</v>
      </c>
    </row>
    <row r="49" spans="1:14" s="2" customFormat="1" ht="11.25" x14ac:dyDescent="0.2">
      <c r="B49" s="88" t="str">
        <f>CONCATENATE("Razem - ",E46)</f>
        <v>Razem - Oczyszczenie i skropienie warstw konstrukcyjnych</v>
      </c>
      <c r="C49" s="80"/>
      <c r="D49" s="80"/>
      <c r="E49" s="81"/>
      <c r="F49" s="81"/>
      <c r="G49" s="81"/>
      <c r="H49" s="81"/>
      <c r="I49" s="28">
        <f>SUM(I47:I48)</f>
        <v>0</v>
      </c>
    </row>
    <row r="50" spans="1:14" s="2" customFormat="1" ht="11.25" x14ac:dyDescent="0.2">
      <c r="A50" s="2" t="s">
        <v>14</v>
      </c>
      <c r="B50" s="58" t="s">
        <v>59</v>
      </c>
      <c r="C50" s="58"/>
      <c r="D50" s="20" t="s">
        <v>285</v>
      </c>
      <c r="E50" s="29" t="s">
        <v>60</v>
      </c>
      <c r="F50" s="29"/>
      <c r="G50" s="29"/>
      <c r="H50" s="29"/>
      <c r="I50" s="30"/>
    </row>
    <row r="51" spans="1:14" s="2" customFormat="1" ht="22.5" x14ac:dyDescent="0.2">
      <c r="B51" s="25">
        <f>B48+1</f>
        <v>26</v>
      </c>
      <c r="C51" s="37" t="s">
        <v>238</v>
      </c>
      <c r="D51" s="59" t="s">
        <v>218</v>
      </c>
      <c r="E51" s="37" t="s">
        <v>268</v>
      </c>
      <c r="F51" s="37" t="s">
        <v>34</v>
      </c>
      <c r="G51" s="26">
        <f>ROUND(7.22*(58.74-16.2)+45,0)</f>
        <v>352</v>
      </c>
      <c r="H51" s="35"/>
      <c r="I51" s="35">
        <f>ROUND(G51*H51,2)</f>
        <v>0</v>
      </c>
    </row>
    <row r="52" spans="1:14" s="3" customFormat="1" ht="22.5" x14ac:dyDescent="0.2">
      <c r="A52" s="3" t="s">
        <v>17</v>
      </c>
      <c r="B52" s="25">
        <f>B51+1</f>
        <v>27</v>
      </c>
      <c r="C52" s="37" t="s">
        <v>239</v>
      </c>
      <c r="D52" s="51" t="s">
        <v>160</v>
      </c>
      <c r="E52" s="52" t="s">
        <v>296</v>
      </c>
      <c r="F52" s="24" t="s">
        <v>34</v>
      </c>
      <c r="G52" s="26">
        <f>ROUND(7.1*(58.74-16.2),0)</f>
        <v>302</v>
      </c>
      <c r="H52" s="54"/>
      <c r="I52" s="54">
        <f>ROUND(G52*H52,2)</f>
        <v>0</v>
      </c>
    </row>
    <row r="53" spans="1:14" s="3" customFormat="1" ht="22.5" x14ac:dyDescent="0.2">
      <c r="A53" s="3" t="s">
        <v>17</v>
      </c>
      <c r="B53" s="25">
        <f>B52+1</f>
        <v>28</v>
      </c>
      <c r="C53" s="25" t="s">
        <v>240</v>
      </c>
      <c r="D53" s="23" t="s">
        <v>161</v>
      </c>
      <c r="E53" s="25" t="s">
        <v>297</v>
      </c>
      <c r="F53" s="23" t="s">
        <v>34</v>
      </c>
      <c r="G53" s="26">
        <f>ROUND(7*(58.74-16.2)+44,0)</f>
        <v>342</v>
      </c>
      <c r="H53" s="27"/>
      <c r="I53" s="27">
        <f>ROUND(G53*H53,2)</f>
        <v>0</v>
      </c>
    </row>
    <row r="54" spans="1:14" s="3" customFormat="1" ht="22.5" x14ac:dyDescent="0.2">
      <c r="B54" s="25">
        <f>B53+1</f>
        <v>29</v>
      </c>
      <c r="C54" s="25" t="s">
        <v>325</v>
      </c>
      <c r="D54" s="23" t="s">
        <v>313</v>
      </c>
      <c r="E54" s="37" t="s">
        <v>312</v>
      </c>
      <c r="F54" s="23" t="s">
        <v>34</v>
      </c>
      <c r="G54" s="26">
        <f>(58.74-20.5)*1.8</f>
        <v>68.832000000000008</v>
      </c>
      <c r="H54" s="27"/>
      <c r="I54" s="27">
        <f>ROUND(G54*H54,2)</f>
        <v>0</v>
      </c>
    </row>
    <row r="55" spans="1:14" s="3" customFormat="1" ht="22.5" x14ac:dyDescent="0.2">
      <c r="A55" s="3" t="s">
        <v>17</v>
      </c>
      <c r="B55" s="25">
        <f>B54+1</f>
        <v>30</v>
      </c>
      <c r="C55" s="25" t="s">
        <v>241</v>
      </c>
      <c r="D55" s="23" t="s">
        <v>162</v>
      </c>
      <c r="E55" s="25" t="s">
        <v>294</v>
      </c>
      <c r="F55" s="23" t="s">
        <v>34</v>
      </c>
      <c r="G55" s="26">
        <f>30+10</f>
        <v>40</v>
      </c>
      <c r="H55" s="27"/>
      <c r="I55" s="27">
        <f>ROUND(G55*H55,2)</f>
        <v>0</v>
      </c>
      <c r="J55" s="9"/>
    </row>
    <row r="56" spans="1:14" s="2" customFormat="1" ht="11.25" x14ac:dyDescent="0.2">
      <c r="B56" s="86" t="str">
        <f>CONCATENATE("Razem - ",E50)</f>
        <v>Razem - Nawierzchnie</v>
      </c>
      <c r="C56" s="81"/>
      <c r="D56" s="80"/>
      <c r="E56" s="81"/>
      <c r="F56" s="81"/>
      <c r="G56" s="81"/>
      <c r="H56" s="81"/>
      <c r="I56" s="28">
        <f>SUM(I51:I55)</f>
        <v>0</v>
      </c>
    </row>
    <row r="57" spans="1:14" s="2" customFormat="1" ht="11.25" x14ac:dyDescent="0.2">
      <c r="A57" s="2" t="s">
        <v>14</v>
      </c>
      <c r="B57" s="18" t="s">
        <v>61</v>
      </c>
      <c r="C57" s="19"/>
      <c r="D57" s="20" t="s">
        <v>285</v>
      </c>
      <c r="E57" s="21" t="s">
        <v>62</v>
      </c>
      <c r="F57" s="21"/>
      <c r="G57" s="21"/>
      <c r="H57" s="21"/>
      <c r="I57" s="22"/>
    </row>
    <row r="58" spans="1:14" s="3" customFormat="1" ht="22.5" x14ac:dyDescent="0.2">
      <c r="A58" s="3" t="s">
        <v>17</v>
      </c>
      <c r="B58" s="25">
        <f>B55+1</f>
        <v>31</v>
      </c>
      <c r="C58" s="25" t="s">
        <v>242</v>
      </c>
      <c r="D58" s="24" t="s">
        <v>163</v>
      </c>
      <c r="E58" s="25" t="s">
        <v>63</v>
      </c>
      <c r="F58" s="23" t="s">
        <v>29</v>
      </c>
      <c r="G58" s="26">
        <f>38+2*3</f>
        <v>44</v>
      </c>
      <c r="H58" s="27"/>
      <c r="I58" s="27">
        <f>ROUND(G58*H58,2)</f>
        <v>0</v>
      </c>
    </row>
    <row r="59" spans="1:14" s="3" customFormat="1" ht="22.5" x14ac:dyDescent="0.2">
      <c r="A59" s="3" t="s">
        <v>17</v>
      </c>
      <c r="B59" s="25">
        <f>B58+1</f>
        <v>32</v>
      </c>
      <c r="C59" s="25" t="s">
        <v>242</v>
      </c>
      <c r="D59" s="23" t="s">
        <v>164</v>
      </c>
      <c r="E59" s="25" t="s">
        <v>64</v>
      </c>
      <c r="F59" s="23" t="s">
        <v>36</v>
      </c>
      <c r="G59" s="40">
        <f>G58*0.05+G61*0.02</f>
        <v>2.9648000000000003</v>
      </c>
      <c r="H59" s="27"/>
      <c r="I59" s="27">
        <f>ROUND(G59*H59,2)</f>
        <v>0</v>
      </c>
    </row>
    <row r="60" spans="1:14" s="3" customFormat="1" ht="22.5" x14ac:dyDescent="0.2">
      <c r="A60" s="3" t="s">
        <v>17</v>
      </c>
      <c r="B60" s="33">
        <f>B59+1</f>
        <v>33</v>
      </c>
      <c r="C60" s="33" t="s">
        <v>242</v>
      </c>
      <c r="D60" s="31" t="s">
        <v>315</v>
      </c>
      <c r="E60" s="33" t="s">
        <v>314</v>
      </c>
      <c r="F60" s="31" t="s">
        <v>29</v>
      </c>
      <c r="G60" s="60">
        <f>27+4</f>
        <v>31</v>
      </c>
      <c r="H60" s="61"/>
      <c r="I60" s="61">
        <f>ROUND(G60*H60,2)</f>
        <v>0</v>
      </c>
    </row>
    <row r="61" spans="1:14" s="3" customFormat="1" ht="34.5" customHeight="1" x14ac:dyDescent="0.2">
      <c r="B61" s="37">
        <f t="shared" ref="B61" si="4">B60+1</f>
        <v>34</v>
      </c>
      <c r="C61" s="37" t="s">
        <v>326</v>
      </c>
      <c r="D61" s="36" t="s">
        <v>317</v>
      </c>
      <c r="E61" s="37" t="s">
        <v>316</v>
      </c>
      <c r="F61" s="36" t="s">
        <v>29</v>
      </c>
      <c r="G61" s="62">
        <f>(58.74-20.5)</f>
        <v>38.24</v>
      </c>
      <c r="H61" s="35"/>
      <c r="I61" s="35">
        <f>ROUND(G61*H61,2)</f>
        <v>0</v>
      </c>
    </row>
    <row r="62" spans="1:14" s="3" customFormat="1" ht="11.25" customHeight="1" x14ac:dyDescent="0.2">
      <c r="A62" s="3" t="s">
        <v>17</v>
      </c>
      <c r="B62" s="84" t="str">
        <f>CONCATENATE("Razem - ",E57)</f>
        <v>Razem - Elementy ulic</v>
      </c>
      <c r="C62" s="85"/>
      <c r="D62" s="89"/>
      <c r="E62" s="85"/>
      <c r="F62" s="85"/>
      <c r="G62" s="85"/>
      <c r="H62" s="85"/>
      <c r="I62" s="39">
        <f>SUM(I58:I61)</f>
        <v>0</v>
      </c>
      <c r="K62" s="91"/>
      <c r="L62" s="91"/>
      <c r="M62" s="91"/>
      <c r="N62" s="91"/>
    </row>
    <row r="63" spans="1:14" s="3" customFormat="1" ht="11.25" customHeight="1" x14ac:dyDescent="0.2">
      <c r="B63" s="18" t="s">
        <v>65</v>
      </c>
      <c r="C63" s="63"/>
      <c r="D63" s="20" t="s">
        <v>285</v>
      </c>
      <c r="E63" s="74" t="s">
        <v>134</v>
      </c>
      <c r="F63" s="74"/>
      <c r="G63" s="74"/>
      <c r="H63" s="74"/>
      <c r="I63" s="92"/>
      <c r="K63" s="13"/>
      <c r="L63" s="13"/>
      <c r="M63" s="13"/>
      <c r="N63" s="13"/>
    </row>
    <row r="64" spans="1:14" s="3" customFormat="1" ht="22.5" x14ac:dyDescent="0.2">
      <c r="A64" s="3" t="s">
        <v>17</v>
      </c>
      <c r="B64" s="25">
        <f>B61+1</f>
        <v>35</v>
      </c>
      <c r="C64" s="64" t="s">
        <v>246</v>
      </c>
      <c r="D64" s="51" t="s">
        <v>208</v>
      </c>
      <c r="E64" s="25" t="s">
        <v>135</v>
      </c>
      <c r="F64" s="23" t="s">
        <v>34</v>
      </c>
      <c r="G64" s="26">
        <v>150</v>
      </c>
      <c r="H64" s="27"/>
      <c r="I64" s="27">
        <f t="shared" ref="I64:I66" si="5">ROUND(G64*H64,2)</f>
        <v>0</v>
      </c>
    </row>
    <row r="65" spans="1:10" s="3" customFormat="1" ht="22.5" x14ac:dyDescent="0.2">
      <c r="A65" s="3" t="s">
        <v>17</v>
      </c>
      <c r="B65" s="25">
        <f>B64+1</f>
        <v>36</v>
      </c>
      <c r="C65" s="64" t="s">
        <v>246</v>
      </c>
      <c r="D65" s="65" t="s">
        <v>209</v>
      </c>
      <c r="E65" s="25" t="s">
        <v>136</v>
      </c>
      <c r="F65" s="23" t="s">
        <v>34</v>
      </c>
      <c r="G65" s="26">
        <f>G64</f>
        <v>150</v>
      </c>
      <c r="H65" s="27"/>
      <c r="I65" s="27">
        <f t="shared" si="5"/>
        <v>0</v>
      </c>
    </row>
    <row r="66" spans="1:10" s="3" customFormat="1" ht="22.5" x14ac:dyDescent="0.2">
      <c r="A66" s="3" t="s">
        <v>17</v>
      </c>
      <c r="B66" s="25">
        <f>B65+1</f>
        <v>37</v>
      </c>
      <c r="C66" s="64" t="s">
        <v>246</v>
      </c>
      <c r="D66" s="65" t="s">
        <v>210</v>
      </c>
      <c r="E66" s="25" t="s">
        <v>287</v>
      </c>
      <c r="F66" s="23" t="s">
        <v>34</v>
      </c>
      <c r="G66" s="26">
        <f>G65</f>
        <v>150</v>
      </c>
      <c r="H66" s="27"/>
      <c r="I66" s="27">
        <f t="shared" si="5"/>
        <v>0</v>
      </c>
    </row>
    <row r="67" spans="1:10" s="2" customFormat="1" ht="11.25" customHeight="1" x14ac:dyDescent="0.2">
      <c r="B67" s="86" t="str">
        <f>CONCATENATE("Razem - ",E63)</f>
        <v>Razem - Prace wykończeniowe</v>
      </c>
      <c r="C67" s="85"/>
      <c r="D67" s="80"/>
      <c r="E67" s="81"/>
      <c r="F67" s="81"/>
      <c r="G67" s="81"/>
      <c r="H67" s="81"/>
      <c r="I67" s="28">
        <f>SUM(I64:I66)</f>
        <v>0</v>
      </c>
    </row>
    <row r="68" spans="1:10" s="2" customFormat="1" ht="11.25" customHeight="1" x14ac:dyDescent="0.2">
      <c r="A68" s="2" t="s">
        <v>14</v>
      </c>
      <c r="B68" s="18" t="s">
        <v>301</v>
      </c>
      <c r="C68" s="63"/>
      <c r="D68" s="20" t="s">
        <v>285</v>
      </c>
      <c r="E68" s="76" t="s">
        <v>274</v>
      </c>
      <c r="F68" s="77"/>
      <c r="G68" s="77"/>
      <c r="H68" s="77"/>
      <c r="I68" s="90"/>
    </row>
    <row r="69" spans="1:10" s="2" customFormat="1" ht="22.5" x14ac:dyDescent="0.2">
      <c r="B69" s="25">
        <f>B66+1</f>
        <v>38</v>
      </c>
      <c r="C69" s="37" t="s">
        <v>245</v>
      </c>
      <c r="D69" s="37" t="s">
        <v>276</v>
      </c>
      <c r="E69" s="37" t="s">
        <v>275</v>
      </c>
      <c r="F69" s="23" t="s">
        <v>29</v>
      </c>
      <c r="G69" s="26">
        <f>2*4</f>
        <v>8</v>
      </c>
      <c r="H69" s="27"/>
      <c r="I69" s="27">
        <f>ROUND(G69*H69,2)</f>
        <v>0</v>
      </c>
    </row>
    <row r="70" spans="1:10" s="3" customFormat="1" ht="22.5" x14ac:dyDescent="0.2">
      <c r="A70" s="3" t="s">
        <v>17</v>
      </c>
      <c r="B70" s="25">
        <f>B69+1</f>
        <v>39</v>
      </c>
      <c r="C70" s="52" t="s">
        <v>243</v>
      </c>
      <c r="D70" s="24" t="s">
        <v>270</v>
      </c>
      <c r="E70" s="52" t="s">
        <v>271</v>
      </c>
      <c r="F70" s="24" t="s">
        <v>42</v>
      </c>
      <c r="G70" s="53">
        <v>1</v>
      </c>
      <c r="H70" s="54"/>
      <c r="I70" s="54">
        <f>ROUND(G70*H70,2)</f>
        <v>0</v>
      </c>
    </row>
    <row r="71" spans="1:10" s="3" customFormat="1" ht="22.5" x14ac:dyDescent="0.2">
      <c r="B71" s="25">
        <f>B70+1</f>
        <v>40</v>
      </c>
      <c r="C71" s="25" t="s">
        <v>243</v>
      </c>
      <c r="D71" s="23" t="s">
        <v>272</v>
      </c>
      <c r="E71" s="25" t="s">
        <v>273</v>
      </c>
      <c r="F71" s="23" t="s">
        <v>42</v>
      </c>
      <c r="G71" s="26">
        <v>2</v>
      </c>
      <c r="H71" s="27"/>
      <c r="I71" s="27">
        <f>ROUND(G71*H71,2)</f>
        <v>0</v>
      </c>
    </row>
    <row r="72" spans="1:10" s="3" customFormat="1" ht="22.5" x14ac:dyDescent="0.2">
      <c r="A72" s="3" t="s">
        <v>17</v>
      </c>
      <c r="B72" s="25">
        <f>B71+1</f>
        <v>41</v>
      </c>
      <c r="C72" s="25" t="s">
        <v>244</v>
      </c>
      <c r="D72" s="23" t="s">
        <v>165</v>
      </c>
      <c r="E72" s="25" t="s">
        <v>299</v>
      </c>
      <c r="F72" s="23" t="s">
        <v>34</v>
      </c>
      <c r="G72" s="40">
        <f>(5.5+10+15.5+9.5+24)*0.12</f>
        <v>7.7399999999999993</v>
      </c>
      <c r="H72" s="27"/>
      <c r="I72" s="27">
        <f>ROUND(G72*H72,2)</f>
        <v>0</v>
      </c>
      <c r="J72" s="9"/>
    </row>
    <row r="73" spans="1:10" s="2" customFormat="1" ht="11.25" x14ac:dyDescent="0.2">
      <c r="B73" s="86" t="str">
        <f>CONCATENATE("Razem - ",E68)</f>
        <v>Razem - Wprowadzenie docelowej organizacji ruchu i montaż urządzeń BRD</v>
      </c>
      <c r="C73" s="81"/>
      <c r="D73" s="81"/>
      <c r="E73" s="81"/>
      <c r="F73" s="81"/>
      <c r="G73" s="81"/>
      <c r="H73" s="81"/>
      <c r="I73" s="28">
        <f>SUM(I69:I72)</f>
        <v>0</v>
      </c>
    </row>
    <row r="74" spans="1:10" s="2" customFormat="1" ht="11.25" x14ac:dyDescent="0.2">
      <c r="B74" s="86" t="str">
        <f>CONCATENATE("Razem - ",E8)</f>
        <v>Razem - Dojazdy</v>
      </c>
      <c r="C74" s="81"/>
      <c r="D74" s="80"/>
      <c r="E74" s="81"/>
      <c r="F74" s="81"/>
      <c r="G74" s="81"/>
      <c r="H74" s="81"/>
      <c r="I74" s="28">
        <f>SUM(I10:I11,I14:I21,I24:I26,I29:I32,I36:I37,I40:I40,I43:I43,I47:I48,I51:I55,I58:I61,I64:I66,I69:I72)</f>
        <v>0</v>
      </c>
    </row>
    <row r="75" spans="1:10" s="2" customFormat="1" ht="11.25" x14ac:dyDescent="0.2">
      <c r="A75" s="2" t="s">
        <v>14</v>
      </c>
      <c r="B75" s="18" t="s">
        <v>22</v>
      </c>
      <c r="C75" s="19"/>
      <c r="D75" s="20" t="s">
        <v>283</v>
      </c>
      <c r="E75" s="21" t="s">
        <v>66</v>
      </c>
      <c r="F75" s="21"/>
      <c r="G75" s="21"/>
      <c r="H75" s="21"/>
      <c r="I75" s="22"/>
    </row>
    <row r="76" spans="1:10" s="2" customFormat="1" ht="11.25" customHeight="1" x14ac:dyDescent="0.2">
      <c r="A76" s="2" t="s">
        <v>14</v>
      </c>
      <c r="B76" s="18" t="s">
        <v>67</v>
      </c>
      <c r="C76" s="19"/>
      <c r="D76" s="20" t="s">
        <v>283</v>
      </c>
      <c r="E76" s="46" t="s">
        <v>25</v>
      </c>
      <c r="F76" s="21"/>
      <c r="G76" s="21"/>
      <c r="H76" s="21"/>
      <c r="I76" s="22"/>
    </row>
    <row r="77" spans="1:10" s="3" customFormat="1" ht="11.25" x14ac:dyDescent="0.2">
      <c r="A77" s="3" t="s">
        <v>17</v>
      </c>
      <c r="B77" s="25">
        <f>B72+1</f>
        <v>42</v>
      </c>
      <c r="C77" s="31" t="s">
        <v>230</v>
      </c>
      <c r="D77" s="24" t="s">
        <v>212</v>
      </c>
      <c r="E77" s="25" t="s">
        <v>68</v>
      </c>
      <c r="F77" s="23" t="s">
        <v>19</v>
      </c>
      <c r="G77" s="26">
        <v>1</v>
      </c>
      <c r="H77" s="27"/>
      <c r="I77" s="27">
        <f>ROUND(G77*H77,2)</f>
        <v>0</v>
      </c>
    </row>
    <row r="78" spans="1:10" s="2" customFormat="1" ht="11.25" x14ac:dyDescent="0.2">
      <c r="B78" s="86" t="str">
        <f>CONCATENATE("Razem - ",E76)</f>
        <v>Razem - Roboty przygotowawcze</v>
      </c>
      <c r="C78" s="81"/>
      <c r="D78" s="80"/>
      <c r="E78" s="81"/>
      <c r="F78" s="81"/>
      <c r="G78" s="81"/>
      <c r="H78" s="81"/>
      <c r="I78" s="28">
        <f>SUM(I77)</f>
        <v>0</v>
      </c>
    </row>
    <row r="79" spans="1:10" s="2" customFormat="1" ht="11.25" customHeight="1" x14ac:dyDescent="0.2">
      <c r="A79" s="2" t="s">
        <v>14</v>
      </c>
      <c r="B79" s="18" t="s">
        <v>69</v>
      </c>
      <c r="C79" s="19"/>
      <c r="D79" s="20" t="s">
        <v>286</v>
      </c>
      <c r="E79" s="21" t="s">
        <v>31</v>
      </c>
      <c r="F79" s="21"/>
      <c r="G79" s="21"/>
      <c r="H79" s="21"/>
      <c r="I79" s="22"/>
    </row>
    <row r="80" spans="1:10" s="3" customFormat="1" ht="22.5" x14ac:dyDescent="0.2">
      <c r="A80" s="3" t="s">
        <v>17</v>
      </c>
      <c r="B80" s="25">
        <f>B77+1</f>
        <v>43</v>
      </c>
      <c r="C80" s="25" t="s">
        <v>278</v>
      </c>
      <c r="D80" s="24" t="s">
        <v>166</v>
      </c>
      <c r="E80" s="25" t="s">
        <v>70</v>
      </c>
      <c r="F80" s="23" t="s">
        <v>71</v>
      </c>
      <c r="G80" s="66">
        <f>(20.5+16.5)*0.042</f>
        <v>1.554</v>
      </c>
      <c r="H80" s="27"/>
      <c r="I80" s="27">
        <f t="shared" ref="I80:I88" si="6">ROUND(G80*H80,2)</f>
        <v>0</v>
      </c>
    </row>
    <row r="81" spans="1:11" s="3" customFormat="1" ht="22.5" x14ac:dyDescent="0.2">
      <c r="A81" s="3" t="s">
        <v>17</v>
      </c>
      <c r="B81" s="25">
        <f t="shared" ref="B81:B88" si="7">B80+1</f>
        <v>44</v>
      </c>
      <c r="C81" s="25" t="s">
        <v>278</v>
      </c>
      <c r="D81" s="23" t="s">
        <v>167</v>
      </c>
      <c r="E81" s="25" t="s">
        <v>277</v>
      </c>
      <c r="F81" s="23" t="s">
        <v>36</v>
      </c>
      <c r="G81" s="67">
        <f>14*8.5*0.3</f>
        <v>35.699999999999996</v>
      </c>
      <c r="H81" s="27"/>
      <c r="I81" s="27">
        <f t="shared" si="6"/>
        <v>0</v>
      </c>
    </row>
    <row r="82" spans="1:11" s="3" customFormat="1" ht="11.25" x14ac:dyDescent="0.2">
      <c r="B82" s="25">
        <f t="shared" si="7"/>
        <v>45</v>
      </c>
      <c r="C82" s="25" t="s">
        <v>278</v>
      </c>
      <c r="D82" s="23"/>
      <c r="E82" s="25" t="s">
        <v>227</v>
      </c>
      <c r="F82" s="23" t="s">
        <v>71</v>
      </c>
      <c r="G82" s="67">
        <f>ROUND(6*14*0.167+4*7*0.04,2)</f>
        <v>15.15</v>
      </c>
      <c r="H82" s="27"/>
      <c r="I82" s="27">
        <f t="shared" si="6"/>
        <v>0</v>
      </c>
    </row>
    <row r="83" spans="1:11" s="3" customFormat="1" ht="22.5" x14ac:dyDescent="0.2">
      <c r="A83" s="3" t="s">
        <v>17</v>
      </c>
      <c r="B83" s="25">
        <f t="shared" si="7"/>
        <v>46</v>
      </c>
      <c r="C83" s="25" t="s">
        <v>278</v>
      </c>
      <c r="D83" s="23" t="s">
        <v>167</v>
      </c>
      <c r="E83" s="25" t="s">
        <v>214</v>
      </c>
      <c r="F83" s="23" t="s">
        <v>36</v>
      </c>
      <c r="G83" s="40">
        <f>2*17*5</f>
        <v>170</v>
      </c>
      <c r="H83" s="27"/>
      <c r="I83" s="27">
        <f t="shared" si="6"/>
        <v>0</v>
      </c>
      <c r="K83" s="9"/>
    </row>
    <row r="84" spans="1:11" s="3" customFormat="1" ht="33.75" x14ac:dyDescent="0.2">
      <c r="A84" s="3" t="s">
        <v>17</v>
      </c>
      <c r="B84" s="25">
        <f t="shared" si="7"/>
        <v>47</v>
      </c>
      <c r="C84" s="25" t="s">
        <v>278</v>
      </c>
      <c r="D84" s="23" t="s">
        <v>149</v>
      </c>
      <c r="E84" s="25" t="s">
        <v>72</v>
      </c>
      <c r="F84" s="23" t="s">
        <v>36</v>
      </c>
      <c r="G84" s="67">
        <f>G81+G83</f>
        <v>205.7</v>
      </c>
      <c r="H84" s="27"/>
      <c r="I84" s="27">
        <f t="shared" si="6"/>
        <v>0</v>
      </c>
    </row>
    <row r="85" spans="1:11" s="3" customFormat="1" ht="33.75" x14ac:dyDescent="0.2">
      <c r="A85" s="3" t="s">
        <v>17</v>
      </c>
      <c r="B85" s="25">
        <f t="shared" si="7"/>
        <v>48</v>
      </c>
      <c r="C85" s="25" t="s">
        <v>278</v>
      </c>
      <c r="D85" s="23" t="s">
        <v>150</v>
      </c>
      <c r="E85" s="25" t="s">
        <v>37</v>
      </c>
      <c r="F85" s="23" t="s">
        <v>36</v>
      </c>
      <c r="G85" s="67">
        <f>G84</f>
        <v>205.7</v>
      </c>
      <c r="H85" s="27"/>
      <c r="I85" s="27">
        <f t="shared" si="6"/>
        <v>0</v>
      </c>
    </row>
    <row r="86" spans="1:11" s="3" customFormat="1" ht="45" x14ac:dyDescent="0.2">
      <c r="A86" s="3" t="s">
        <v>17</v>
      </c>
      <c r="B86" s="25">
        <f t="shared" si="7"/>
        <v>49</v>
      </c>
      <c r="C86" s="25" t="s">
        <v>278</v>
      </c>
      <c r="D86" s="23" t="s">
        <v>168</v>
      </c>
      <c r="E86" s="25" t="s">
        <v>222</v>
      </c>
      <c r="F86" s="23" t="s">
        <v>36</v>
      </c>
      <c r="G86" s="67">
        <f>G85</f>
        <v>205.7</v>
      </c>
      <c r="H86" s="27"/>
      <c r="I86" s="27">
        <f t="shared" si="6"/>
        <v>0</v>
      </c>
    </row>
    <row r="87" spans="1:11" s="3" customFormat="1" ht="33.75" x14ac:dyDescent="0.2">
      <c r="A87" s="3" t="s">
        <v>17</v>
      </c>
      <c r="B87" s="25">
        <f t="shared" si="7"/>
        <v>50</v>
      </c>
      <c r="C87" s="25" t="s">
        <v>278</v>
      </c>
      <c r="D87" s="23" t="s">
        <v>169</v>
      </c>
      <c r="E87" s="25" t="s">
        <v>73</v>
      </c>
      <c r="F87" s="23" t="s">
        <v>71</v>
      </c>
      <c r="G87" s="66">
        <f>G80+G82</f>
        <v>16.704000000000001</v>
      </c>
      <c r="H87" s="27"/>
      <c r="I87" s="27">
        <f t="shared" si="6"/>
        <v>0</v>
      </c>
    </row>
    <row r="88" spans="1:11" s="3" customFormat="1" ht="22.5" x14ac:dyDescent="0.2">
      <c r="A88" s="3" t="s">
        <v>17</v>
      </c>
      <c r="B88" s="25">
        <f t="shared" si="7"/>
        <v>51</v>
      </c>
      <c r="C88" s="25" t="s">
        <v>278</v>
      </c>
      <c r="D88" s="23" t="s">
        <v>170</v>
      </c>
      <c r="E88" s="25" t="s">
        <v>223</v>
      </c>
      <c r="F88" s="23" t="s">
        <v>71</v>
      </c>
      <c r="G88" s="66">
        <f>G87</f>
        <v>16.704000000000001</v>
      </c>
      <c r="H88" s="27"/>
      <c r="I88" s="27">
        <f t="shared" si="6"/>
        <v>0</v>
      </c>
    </row>
    <row r="89" spans="1:11" s="2" customFormat="1" ht="11.25" x14ac:dyDescent="0.2">
      <c r="B89" s="86" t="str">
        <f>CONCATENATE("Razem - ",E79)</f>
        <v>Razem - Roboty rozbiórkowe</v>
      </c>
      <c r="C89" s="81"/>
      <c r="D89" s="80"/>
      <c r="E89" s="81"/>
      <c r="F89" s="81"/>
      <c r="G89" s="81"/>
      <c r="H89" s="81"/>
      <c r="I89" s="28">
        <f>SUM(I80:I88)</f>
        <v>0</v>
      </c>
    </row>
    <row r="90" spans="1:11" s="2" customFormat="1" ht="11.25" x14ac:dyDescent="0.2">
      <c r="A90" s="2" t="s">
        <v>14</v>
      </c>
      <c r="B90" s="18" t="s">
        <v>74</v>
      </c>
      <c r="C90" s="19"/>
      <c r="D90" s="20" t="s">
        <v>283</v>
      </c>
      <c r="E90" s="21" t="s">
        <v>39</v>
      </c>
      <c r="F90" s="21"/>
      <c r="G90" s="21"/>
      <c r="H90" s="21"/>
      <c r="I90" s="22"/>
    </row>
    <row r="91" spans="1:11" s="3" customFormat="1" ht="45" x14ac:dyDescent="0.2">
      <c r="A91" s="3" t="s">
        <v>17</v>
      </c>
      <c r="B91" s="25">
        <f>B88+1</f>
        <v>52</v>
      </c>
      <c r="C91" s="25" t="s">
        <v>228</v>
      </c>
      <c r="D91" s="24" t="s">
        <v>151</v>
      </c>
      <c r="E91" s="25" t="s">
        <v>40</v>
      </c>
      <c r="F91" s="23" t="s">
        <v>36</v>
      </c>
      <c r="G91" s="26">
        <f>50*5.3+50*5.5</f>
        <v>540</v>
      </c>
      <c r="H91" s="27"/>
      <c r="I91" s="27">
        <f>ROUND(G91*H91,2)</f>
        <v>0</v>
      </c>
    </row>
    <row r="92" spans="1:11" s="3" customFormat="1" ht="45" x14ac:dyDescent="0.2">
      <c r="B92" s="25">
        <f>B91+1</f>
        <v>53</v>
      </c>
      <c r="C92" s="25"/>
      <c r="D92" s="36" t="s">
        <v>318</v>
      </c>
      <c r="E92" s="37" t="s">
        <v>319</v>
      </c>
      <c r="F92" s="23" t="s">
        <v>29</v>
      </c>
      <c r="G92" s="26">
        <v>60</v>
      </c>
      <c r="H92" s="27"/>
      <c r="I92" s="27">
        <f>ROUND(G92*H92,2)</f>
        <v>0</v>
      </c>
    </row>
    <row r="93" spans="1:11" s="3" customFormat="1" ht="56.25" x14ac:dyDescent="0.2">
      <c r="A93" s="3" t="s">
        <v>17</v>
      </c>
      <c r="B93" s="25">
        <f>B92+1</f>
        <v>54</v>
      </c>
      <c r="C93" s="25" t="s">
        <v>229</v>
      </c>
      <c r="D93" s="23" t="s">
        <v>171</v>
      </c>
      <c r="E93" s="25" t="s">
        <v>75</v>
      </c>
      <c r="F93" s="23" t="s">
        <v>36</v>
      </c>
      <c r="G93" s="26">
        <v>410</v>
      </c>
      <c r="H93" s="27"/>
      <c r="I93" s="27">
        <f>ROUND(G93*H93,2)</f>
        <v>0</v>
      </c>
    </row>
    <row r="94" spans="1:11" s="2" customFormat="1" ht="11.25" x14ac:dyDescent="0.2">
      <c r="B94" s="86" t="str">
        <f>CONCATENATE("Razem - ",E90)</f>
        <v>Razem - Roboty ziemne</v>
      </c>
      <c r="C94" s="81"/>
      <c r="D94" s="80"/>
      <c r="E94" s="81"/>
      <c r="F94" s="81"/>
      <c r="G94" s="81"/>
      <c r="H94" s="81"/>
      <c r="I94" s="28">
        <f>SUM(I91:I93)</f>
        <v>0</v>
      </c>
    </row>
    <row r="95" spans="1:11" s="2" customFormat="1" ht="11.25" x14ac:dyDescent="0.2">
      <c r="A95" s="2" t="s">
        <v>14</v>
      </c>
      <c r="B95" s="18" t="s">
        <v>76</v>
      </c>
      <c r="C95" s="19"/>
      <c r="D95" s="20" t="s">
        <v>283</v>
      </c>
      <c r="E95" s="21" t="s">
        <v>217</v>
      </c>
      <c r="F95" s="21"/>
      <c r="G95" s="21"/>
      <c r="H95" s="21"/>
      <c r="I95" s="22"/>
    </row>
    <row r="96" spans="1:11" s="3" customFormat="1" ht="22.5" x14ac:dyDescent="0.2">
      <c r="A96" s="3" t="s">
        <v>17</v>
      </c>
      <c r="B96" s="25">
        <f>B93+1</f>
        <v>55</v>
      </c>
      <c r="C96" s="25" t="s">
        <v>247</v>
      </c>
      <c r="D96" s="24" t="s">
        <v>172</v>
      </c>
      <c r="E96" s="25" t="s">
        <v>77</v>
      </c>
      <c r="F96" s="23" t="s">
        <v>36</v>
      </c>
      <c r="G96" s="67">
        <f>7+6.5</f>
        <v>13.5</v>
      </c>
      <c r="H96" s="27"/>
      <c r="I96" s="27">
        <f t="shared" ref="I96:I104" si="8">ROUND(G96*H96,2)</f>
        <v>0</v>
      </c>
    </row>
    <row r="97" spans="1:11" s="3" customFormat="1" ht="22.5" x14ac:dyDescent="0.2">
      <c r="B97" s="25">
        <f t="shared" ref="B97:B104" si="9">B96+1</f>
        <v>56</v>
      </c>
      <c r="C97" s="25" t="s">
        <v>249</v>
      </c>
      <c r="D97" s="23" t="s">
        <v>292</v>
      </c>
      <c r="E97" s="25" t="s">
        <v>104</v>
      </c>
      <c r="F97" s="23" t="s">
        <v>34</v>
      </c>
      <c r="G97" s="67">
        <f>4.36+10.49+4.26+10.24+4.05+9.73+4.07+9.81</f>
        <v>57.01</v>
      </c>
      <c r="H97" s="27"/>
      <c r="I97" s="27">
        <f t="shared" si="8"/>
        <v>0</v>
      </c>
    </row>
    <row r="98" spans="1:11" s="3" customFormat="1" ht="33.75" x14ac:dyDescent="0.2">
      <c r="B98" s="25">
        <f t="shared" si="9"/>
        <v>57</v>
      </c>
      <c r="C98" s="25" t="s">
        <v>249</v>
      </c>
      <c r="D98" s="23" t="s">
        <v>175</v>
      </c>
      <c r="E98" s="25" t="s">
        <v>295</v>
      </c>
      <c r="F98" s="23" t="s">
        <v>34</v>
      </c>
      <c r="G98" s="40">
        <f>ROUND((33.7+5.8+2.3+9.92*0.28+13.3+0.63*2.41+14.3+2.5+3.06*0.2+2.5+1.64+0.4+0.5*0.7+13.9+2.5+7.9+7.3*1.27+7.04+7.4+1.63*2.5+1.1*2.8)+(34.5+6.4+2.2+0.28*9.37+14.6+0.63*2.5+14.1+0.59*2.74+1.9+0.4+0.7*0.5+2+0.4+0.7*0.5+16.2+2.5+8+7.3*0.9+2.8*1.17+3.09*1.39+7.1+6.3),1)</f>
        <v>274.10000000000002</v>
      </c>
      <c r="H98" s="27"/>
      <c r="I98" s="27">
        <f t="shared" si="8"/>
        <v>0</v>
      </c>
    </row>
    <row r="99" spans="1:11" s="3" customFormat="1" ht="22.5" x14ac:dyDescent="0.2">
      <c r="B99" s="25">
        <f t="shared" si="9"/>
        <v>58</v>
      </c>
      <c r="C99" s="25" t="s">
        <v>248</v>
      </c>
      <c r="D99" s="23" t="s">
        <v>288</v>
      </c>
      <c r="E99" s="25" t="s">
        <v>289</v>
      </c>
      <c r="F99" s="23" t="s">
        <v>71</v>
      </c>
      <c r="G99" s="66">
        <f>3.038+2.842</f>
        <v>5.88</v>
      </c>
      <c r="H99" s="27"/>
      <c r="I99" s="27">
        <f t="shared" si="8"/>
        <v>0</v>
      </c>
    </row>
    <row r="100" spans="1:11" s="3" customFormat="1" ht="22.5" x14ac:dyDescent="0.2">
      <c r="A100" s="3" t="s">
        <v>17</v>
      </c>
      <c r="B100" s="25">
        <f t="shared" si="9"/>
        <v>59</v>
      </c>
      <c r="C100" s="25" t="s">
        <v>248</v>
      </c>
      <c r="D100" s="23" t="s">
        <v>290</v>
      </c>
      <c r="E100" s="25" t="s">
        <v>291</v>
      </c>
      <c r="F100" s="23" t="s">
        <v>71</v>
      </c>
      <c r="G100" s="66">
        <f>G99</f>
        <v>5.88</v>
      </c>
      <c r="H100" s="27"/>
      <c r="I100" s="27">
        <f t="shared" si="8"/>
        <v>0</v>
      </c>
      <c r="K100" s="9"/>
    </row>
    <row r="101" spans="1:11" s="3" customFormat="1" ht="22.5" x14ac:dyDescent="0.2">
      <c r="A101" s="3" t="s">
        <v>17</v>
      </c>
      <c r="B101" s="25">
        <f t="shared" si="9"/>
        <v>60</v>
      </c>
      <c r="C101" s="25" t="s">
        <v>248</v>
      </c>
      <c r="D101" s="23" t="s">
        <v>173</v>
      </c>
      <c r="E101" s="25" t="s">
        <v>78</v>
      </c>
      <c r="F101" s="23" t="s">
        <v>71</v>
      </c>
      <c r="G101" s="66">
        <f>5.478+5.559</f>
        <v>11.036999999999999</v>
      </c>
      <c r="H101" s="27"/>
      <c r="I101" s="27">
        <f t="shared" si="8"/>
        <v>0</v>
      </c>
    </row>
    <row r="102" spans="1:11" s="3" customFormat="1" ht="22.5" x14ac:dyDescent="0.2">
      <c r="A102" s="3" t="s">
        <v>17</v>
      </c>
      <c r="B102" s="25">
        <f t="shared" si="9"/>
        <v>61</v>
      </c>
      <c r="C102" s="25" t="s">
        <v>248</v>
      </c>
      <c r="D102" s="23" t="s">
        <v>174</v>
      </c>
      <c r="E102" s="25" t="s">
        <v>79</v>
      </c>
      <c r="F102" s="23" t="s">
        <v>71</v>
      </c>
      <c r="G102" s="66">
        <f>G101</f>
        <v>11.036999999999999</v>
      </c>
      <c r="H102" s="27"/>
      <c r="I102" s="27">
        <f t="shared" si="8"/>
        <v>0</v>
      </c>
    </row>
    <row r="103" spans="1:11" s="3" customFormat="1" ht="33.75" x14ac:dyDescent="0.2">
      <c r="A103" s="3" t="s">
        <v>17</v>
      </c>
      <c r="B103" s="25">
        <f t="shared" si="9"/>
        <v>62</v>
      </c>
      <c r="C103" s="25" t="s">
        <v>249</v>
      </c>
      <c r="D103" s="23" t="s">
        <v>176</v>
      </c>
      <c r="E103" s="25" t="s">
        <v>80</v>
      </c>
      <c r="F103" s="23" t="s">
        <v>36</v>
      </c>
      <c r="G103" s="67">
        <f>41.5+39.1</f>
        <v>80.599999999999994</v>
      </c>
      <c r="H103" s="27"/>
      <c r="I103" s="27">
        <f t="shared" si="8"/>
        <v>0</v>
      </c>
    </row>
    <row r="104" spans="1:11" s="3" customFormat="1" ht="33.75" x14ac:dyDescent="0.2">
      <c r="A104" s="3" t="s">
        <v>17</v>
      </c>
      <c r="B104" s="25">
        <f t="shared" si="9"/>
        <v>63</v>
      </c>
      <c r="C104" s="25" t="s">
        <v>249</v>
      </c>
      <c r="D104" s="23" t="s">
        <v>177</v>
      </c>
      <c r="E104" s="25" t="s">
        <v>224</v>
      </c>
      <c r="F104" s="23" t="s">
        <v>36</v>
      </c>
      <c r="G104" s="67">
        <f>59+60</f>
        <v>119</v>
      </c>
      <c r="H104" s="27"/>
      <c r="I104" s="27">
        <f t="shared" si="8"/>
        <v>0</v>
      </c>
    </row>
    <row r="105" spans="1:11" s="2" customFormat="1" ht="11.25" x14ac:dyDescent="0.2">
      <c r="B105" s="86" t="str">
        <f>CONCATENATE("Razem - ",E95)</f>
        <v>Razem - Podpory</v>
      </c>
      <c r="C105" s="81"/>
      <c r="D105" s="80"/>
      <c r="E105" s="81"/>
      <c r="F105" s="81"/>
      <c r="G105" s="81"/>
      <c r="H105" s="81"/>
      <c r="I105" s="28">
        <f>SUM(I96:I104)</f>
        <v>0</v>
      </c>
    </row>
    <row r="106" spans="1:11" s="2" customFormat="1" ht="11.25" customHeight="1" x14ac:dyDescent="0.2">
      <c r="A106" s="2" t="s">
        <v>14</v>
      </c>
      <c r="B106" s="18" t="s">
        <v>81</v>
      </c>
      <c r="C106" s="19"/>
      <c r="D106" s="20" t="s">
        <v>283</v>
      </c>
      <c r="E106" s="21" t="s">
        <v>320</v>
      </c>
      <c r="F106" s="21"/>
      <c r="G106" s="21"/>
      <c r="H106" s="21"/>
      <c r="I106" s="22"/>
    </row>
    <row r="107" spans="1:11" s="3" customFormat="1" ht="22.5" x14ac:dyDescent="0.2">
      <c r="A107" s="3" t="s">
        <v>17</v>
      </c>
      <c r="B107" s="25">
        <f>B104+1</f>
        <v>64</v>
      </c>
      <c r="C107" s="25" t="s">
        <v>249</v>
      </c>
      <c r="D107" s="23" t="s">
        <v>178</v>
      </c>
      <c r="E107" s="25" t="s">
        <v>279</v>
      </c>
      <c r="F107" s="23" t="s">
        <v>34</v>
      </c>
      <c r="G107" s="67">
        <f>ROUND(11.2*14.93+6.73+6.37,2)</f>
        <v>180.32</v>
      </c>
      <c r="H107" s="27"/>
      <c r="I107" s="27">
        <f t="shared" ref="I107:I111" si="10">ROUND(G107*H107,2)</f>
        <v>0</v>
      </c>
    </row>
    <row r="108" spans="1:11" s="3" customFormat="1" ht="22.5" x14ac:dyDescent="0.2">
      <c r="A108" s="3" t="s">
        <v>17</v>
      </c>
      <c r="B108" s="25">
        <f t="shared" ref="B108:B111" si="11">B107+1</f>
        <v>65</v>
      </c>
      <c r="C108" s="25" t="s">
        <v>248</v>
      </c>
      <c r="D108" s="23" t="s">
        <v>179</v>
      </c>
      <c r="E108" s="25" t="s">
        <v>280</v>
      </c>
      <c r="F108" s="23" t="s">
        <v>71</v>
      </c>
      <c r="G108" s="66">
        <v>16.756</v>
      </c>
      <c r="H108" s="27"/>
      <c r="I108" s="27">
        <f t="shared" si="10"/>
        <v>0</v>
      </c>
    </row>
    <row r="109" spans="1:11" s="3" customFormat="1" ht="22.5" x14ac:dyDescent="0.2">
      <c r="A109" s="3" t="s">
        <v>17</v>
      </c>
      <c r="B109" s="25">
        <f t="shared" si="11"/>
        <v>66</v>
      </c>
      <c r="C109" s="25" t="s">
        <v>248</v>
      </c>
      <c r="D109" s="23" t="s">
        <v>181</v>
      </c>
      <c r="E109" s="25" t="s">
        <v>84</v>
      </c>
      <c r="F109" s="23" t="s">
        <v>71</v>
      </c>
      <c r="G109" s="66">
        <f>G108</f>
        <v>16.756</v>
      </c>
      <c r="H109" s="27"/>
      <c r="I109" s="27">
        <f t="shared" si="10"/>
        <v>0</v>
      </c>
    </row>
    <row r="110" spans="1:11" s="3" customFormat="1" ht="33.75" x14ac:dyDescent="0.2">
      <c r="A110" s="3" t="s">
        <v>17</v>
      </c>
      <c r="B110" s="25">
        <f>B109+1</f>
        <v>67</v>
      </c>
      <c r="C110" s="25" t="s">
        <v>249</v>
      </c>
      <c r="D110" s="23" t="s">
        <v>183</v>
      </c>
      <c r="E110" s="25" t="s">
        <v>328</v>
      </c>
      <c r="F110" s="23" t="s">
        <v>36</v>
      </c>
      <c r="G110" s="67">
        <v>99</v>
      </c>
      <c r="H110" s="27"/>
      <c r="I110" s="27">
        <f t="shared" si="10"/>
        <v>0</v>
      </c>
    </row>
    <row r="111" spans="1:11" s="3" customFormat="1" ht="11.25" x14ac:dyDescent="0.2">
      <c r="A111" s="3" t="s">
        <v>17</v>
      </c>
      <c r="B111" s="25">
        <f t="shared" si="11"/>
        <v>68</v>
      </c>
      <c r="C111" s="25" t="s">
        <v>248</v>
      </c>
      <c r="D111" s="23" t="s">
        <v>212</v>
      </c>
      <c r="E111" s="25" t="s">
        <v>86</v>
      </c>
      <c r="F111" s="23" t="s">
        <v>44</v>
      </c>
      <c r="G111" s="26">
        <v>57</v>
      </c>
      <c r="H111" s="27"/>
      <c r="I111" s="27">
        <f t="shared" si="10"/>
        <v>0</v>
      </c>
    </row>
    <row r="112" spans="1:11" s="2" customFormat="1" ht="11.25" x14ac:dyDescent="0.2">
      <c r="B112" s="86" t="str">
        <f>CONCATENATE("Razem - ",E106)</f>
        <v>Razem - Ustrój nośny</v>
      </c>
      <c r="C112" s="81"/>
      <c r="D112" s="80"/>
      <c r="E112" s="81"/>
      <c r="F112" s="81"/>
      <c r="G112" s="81"/>
      <c r="H112" s="81"/>
      <c r="I112" s="28">
        <f>SUM(I107:I111)</f>
        <v>0</v>
      </c>
    </row>
    <row r="113" spans="1:9" s="2" customFormat="1" ht="11.25" x14ac:dyDescent="0.2">
      <c r="A113" s="2" t="s">
        <v>14</v>
      </c>
      <c r="B113" s="18" t="s">
        <v>87</v>
      </c>
      <c r="C113" s="19"/>
      <c r="D113" s="20" t="s">
        <v>283</v>
      </c>
      <c r="E113" s="21" t="s">
        <v>88</v>
      </c>
      <c r="F113" s="21"/>
      <c r="G113" s="21"/>
      <c r="H113" s="21"/>
      <c r="I113" s="22"/>
    </row>
    <row r="114" spans="1:9" s="2" customFormat="1" ht="11.25" customHeight="1" x14ac:dyDescent="0.2">
      <c r="A114" s="2" t="s">
        <v>14</v>
      </c>
      <c r="B114" s="18" t="s">
        <v>89</v>
      </c>
      <c r="C114" s="19"/>
      <c r="D114" s="20" t="s">
        <v>283</v>
      </c>
      <c r="E114" s="21" t="s">
        <v>90</v>
      </c>
      <c r="F114" s="21"/>
      <c r="G114" s="21"/>
      <c r="H114" s="21"/>
      <c r="I114" s="22"/>
    </row>
    <row r="115" spans="1:9" s="3" customFormat="1" ht="22.5" x14ac:dyDescent="0.2">
      <c r="A115" s="3" t="s">
        <v>17</v>
      </c>
      <c r="B115" s="25">
        <f>B111+1</f>
        <v>69</v>
      </c>
      <c r="C115" s="25" t="s">
        <v>259</v>
      </c>
      <c r="D115" s="24" t="s">
        <v>184</v>
      </c>
      <c r="E115" s="25" t="s">
        <v>91</v>
      </c>
      <c r="F115" s="23" t="s">
        <v>42</v>
      </c>
      <c r="G115" s="26">
        <v>6</v>
      </c>
      <c r="H115" s="27"/>
      <c r="I115" s="27">
        <f>ROUND(G115*H115,2)</f>
        <v>0</v>
      </c>
    </row>
    <row r="116" spans="1:9" s="2" customFormat="1" ht="11.25" x14ac:dyDescent="0.2">
      <c r="B116" s="86" t="str">
        <f>CONCATENATE("Razem - ",E114)</f>
        <v>Razem - Łożyska garnkowe</v>
      </c>
      <c r="C116" s="81"/>
      <c r="D116" s="80"/>
      <c r="E116" s="81"/>
      <c r="F116" s="81"/>
      <c r="G116" s="81"/>
      <c r="H116" s="81"/>
      <c r="I116" s="28">
        <f>SUM(I115)</f>
        <v>0</v>
      </c>
    </row>
    <row r="117" spans="1:9" s="2" customFormat="1" ht="11.25" x14ac:dyDescent="0.2">
      <c r="A117" s="2" t="s">
        <v>14</v>
      </c>
      <c r="B117" s="18" t="s">
        <v>92</v>
      </c>
      <c r="C117" s="19"/>
      <c r="D117" s="20" t="s">
        <v>283</v>
      </c>
      <c r="E117" s="21" t="s">
        <v>93</v>
      </c>
      <c r="F117" s="21"/>
      <c r="G117" s="21"/>
      <c r="H117" s="21"/>
      <c r="I117" s="22"/>
    </row>
    <row r="118" spans="1:9" s="3" customFormat="1" ht="45" x14ac:dyDescent="0.2">
      <c r="A118" s="3" t="s">
        <v>17</v>
      </c>
      <c r="B118" s="25">
        <f>B115+1</f>
        <v>70</v>
      </c>
      <c r="C118" s="25" t="s">
        <v>250</v>
      </c>
      <c r="D118" s="24" t="s">
        <v>186</v>
      </c>
      <c r="E118" s="25" t="s">
        <v>94</v>
      </c>
      <c r="F118" s="23" t="s">
        <v>34</v>
      </c>
      <c r="G118" s="62">
        <f>ROUND((4.36+10.49+4.26+10.24)*1+(41.5-13)+(2.5+1.64+0.4+0.5*0.7+13.9+2.5+7.9+7.3*1.27+7.04+7.4+1.63*2.5+1.1*2.8+8.87*0.3+24+11.1+12.4)+(4.05+9.73+4.07+9.81)*1+(39.1-12.4)+(1.9+0.4+0.7*0.5+2+0.4+0.7*0.5+16.2+2.5+8+7.3*0.9+2.8*1.17+3.09*1.39+7.1+6.3+8.35*0.3+23.4+11.6+11.7),1)</f>
        <v>331.3</v>
      </c>
      <c r="H118" s="27"/>
      <c r="I118" s="27">
        <f>ROUND(G118*H118,2)</f>
        <v>0</v>
      </c>
    </row>
    <row r="119" spans="1:9" s="3" customFormat="1" ht="45" x14ac:dyDescent="0.2">
      <c r="A119" s="3" t="s">
        <v>17</v>
      </c>
      <c r="B119" s="25">
        <f>B118+1</f>
        <v>71</v>
      </c>
      <c r="C119" s="25" t="s">
        <v>250</v>
      </c>
      <c r="D119" s="23" t="s">
        <v>185</v>
      </c>
      <c r="E119" s="25" t="s">
        <v>95</v>
      </c>
      <c r="F119" s="23" t="s">
        <v>34</v>
      </c>
      <c r="G119" s="62">
        <f>G118</f>
        <v>331.3</v>
      </c>
      <c r="H119" s="27"/>
      <c r="I119" s="27">
        <f>ROUND(G119*H119,2)</f>
        <v>0</v>
      </c>
    </row>
    <row r="120" spans="1:9" s="3" customFormat="1" ht="33.75" x14ac:dyDescent="0.2">
      <c r="A120" s="3" t="s">
        <v>17</v>
      </c>
      <c r="B120" s="25">
        <f>B119+1</f>
        <v>72</v>
      </c>
      <c r="C120" s="25" t="s">
        <v>251</v>
      </c>
      <c r="D120" s="23" t="s">
        <v>187</v>
      </c>
      <c r="E120" s="25" t="s">
        <v>96</v>
      </c>
      <c r="F120" s="23" t="s">
        <v>34</v>
      </c>
      <c r="G120" s="62">
        <f>10.4*14.93+11.4+10.4+33.3+32.8</f>
        <v>243.17200000000003</v>
      </c>
      <c r="H120" s="27"/>
      <c r="I120" s="27">
        <f>ROUND(G120*H120,2)</f>
        <v>0</v>
      </c>
    </row>
    <row r="121" spans="1:9" s="3" customFormat="1" ht="22.5" x14ac:dyDescent="0.2">
      <c r="A121" s="3" t="s">
        <v>17</v>
      </c>
      <c r="B121" s="25">
        <f>B120+1</f>
        <v>73</v>
      </c>
      <c r="C121" s="25" t="s">
        <v>251</v>
      </c>
      <c r="D121" s="23" t="s">
        <v>188</v>
      </c>
      <c r="E121" s="25" t="s">
        <v>225</v>
      </c>
      <c r="F121" s="23" t="s">
        <v>34</v>
      </c>
      <c r="G121" s="62">
        <f>G120</f>
        <v>243.17200000000003</v>
      </c>
      <c r="H121" s="27"/>
      <c r="I121" s="27">
        <f>ROUND(G121*H121,2)</f>
        <v>0</v>
      </c>
    </row>
    <row r="122" spans="1:9" s="2" customFormat="1" ht="11.25" x14ac:dyDescent="0.2">
      <c r="B122" s="86" t="str">
        <f>CONCATENATE("Razem - ",E117)</f>
        <v>Razem - Izolacje</v>
      </c>
      <c r="C122" s="81"/>
      <c r="D122" s="80"/>
      <c r="E122" s="81"/>
      <c r="F122" s="81"/>
      <c r="G122" s="81"/>
      <c r="H122" s="81"/>
      <c r="I122" s="28">
        <f>SUM(I118:I121)</f>
        <v>0</v>
      </c>
    </row>
    <row r="123" spans="1:9" s="2" customFormat="1" ht="11.25" customHeight="1" x14ac:dyDescent="0.2">
      <c r="A123" s="2" t="s">
        <v>14</v>
      </c>
      <c r="B123" s="18" t="s">
        <v>97</v>
      </c>
      <c r="C123" s="19"/>
      <c r="D123" s="20" t="s">
        <v>283</v>
      </c>
      <c r="E123" s="21" t="s">
        <v>98</v>
      </c>
      <c r="F123" s="21"/>
      <c r="G123" s="21"/>
      <c r="H123" s="21"/>
      <c r="I123" s="22"/>
    </row>
    <row r="124" spans="1:9" s="3" customFormat="1" ht="22.5" x14ac:dyDescent="0.2">
      <c r="A124" s="3" t="s">
        <v>17</v>
      </c>
      <c r="B124" s="25">
        <f>B121+1</f>
        <v>74</v>
      </c>
      <c r="C124" s="25" t="s">
        <v>253</v>
      </c>
      <c r="D124" s="24" t="s">
        <v>189</v>
      </c>
      <c r="E124" s="25" t="s">
        <v>99</v>
      </c>
      <c r="F124" s="23" t="s">
        <v>100</v>
      </c>
      <c r="G124" s="26">
        <v>4</v>
      </c>
      <c r="H124" s="27"/>
      <c r="I124" s="27">
        <f t="shared" ref="I124:I125" si="12">ROUND(G124*H124,2)</f>
        <v>0</v>
      </c>
    </row>
    <row r="125" spans="1:9" s="3" customFormat="1" ht="56.25" x14ac:dyDescent="0.2">
      <c r="A125" s="3" t="s">
        <v>17</v>
      </c>
      <c r="B125" s="25">
        <f>B124+1</f>
        <v>75</v>
      </c>
      <c r="C125" s="25" t="s">
        <v>253</v>
      </c>
      <c r="D125" s="23" t="s">
        <v>212</v>
      </c>
      <c r="E125" s="25" t="s">
        <v>101</v>
      </c>
      <c r="F125" s="23" t="s">
        <v>29</v>
      </c>
      <c r="G125" s="26">
        <f>15+11+11</f>
        <v>37</v>
      </c>
      <c r="H125" s="27"/>
      <c r="I125" s="27">
        <f t="shared" si="12"/>
        <v>0</v>
      </c>
    </row>
    <row r="126" spans="1:9" s="2" customFormat="1" ht="11.25" customHeight="1" x14ac:dyDescent="0.2">
      <c r="B126" s="86" t="str">
        <f>CONCATENATE("Razem - ",E123)</f>
        <v>Razem - Odwodnienie ustroju niosącego</v>
      </c>
      <c r="C126" s="81"/>
      <c r="D126" s="80"/>
      <c r="E126" s="81"/>
      <c r="F126" s="81"/>
      <c r="G126" s="81"/>
      <c r="H126" s="81"/>
      <c r="I126" s="28">
        <f>SUM(I124:I125)</f>
        <v>0</v>
      </c>
    </row>
    <row r="127" spans="1:9" s="2" customFormat="1" ht="11.25" customHeight="1" x14ac:dyDescent="0.2">
      <c r="A127" s="2" t="s">
        <v>14</v>
      </c>
      <c r="B127" s="18" t="s">
        <v>102</v>
      </c>
      <c r="C127" s="19"/>
      <c r="D127" s="20" t="s">
        <v>283</v>
      </c>
      <c r="E127" s="21" t="s">
        <v>103</v>
      </c>
      <c r="F127" s="21"/>
      <c r="G127" s="21"/>
      <c r="H127" s="21"/>
      <c r="I127" s="22"/>
    </row>
    <row r="128" spans="1:9" s="3" customFormat="1" ht="22.5" x14ac:dyDescent="0.2">
      <c r="A128" s="3" t="s">
        <v>17</v>
      </c>
      <c r="B128" s="25">
        <f>B125+1</f>
        <v>76</v>
      </c>
      <c r="C128" s="25" t="s">
        <v>247</v>
      </c>
      <c r="D128" s="24" t="s">
        <v>153</v>
      </c>
      <c r="E128" s="25" t="s">
        <v>77</v>
      </c>
      <c r="F128" s="23" t="s">
        <v>36</v>
      </c>
      <c r="G128" s="40">
        <v>7</v>
      </c>
      <c r="H128" s="27"/>
      <c r="I128" s="27">
        <f t="shared" ref="I128:I133" si="13">ROUND(G128*H128,2)</f>
        <v>0</v>
      </c>
    </row>
    <row r="129" spans="1:14" s="3" customFormat="1" ht="22.5" x14ac:dyDescent="0.2">
      <c r="A129" s="3" t="s">
        <v>17</v>
      </c>
      <c r="B129" s="25">
        <f>B128+1</f>
        <v>77</v>
      </c>
      <c r="C129" s="25" t="s">
        <v>249</v>
      </c>
      <c r="D129" s="23" t="s">
        <v>190</v>
      </c>
      <c r="E129" s="25" t="s">
        <v>104</v>
      </c>
      <c r="F129" s="23" t="s">
        <v>34</v>
      </c>
      <c r="G129" s="67">
        <f>17*0.3+16.5*0.3</f>
        <v>10.050000000000001</v>
      </c>
      <c r="H129" s="27"/>
      <c r="I129" s="27">
        <f t="shared" si="13"/>
        <v>0</v>
      </c>
    </row>
    <row r="130" spans="1:14" s="3" customFormat="1" ht="33.75" x14ac:dyDescent="0.2">
      <c r="A130" s="3" t="s">
        <v>17</v>
      </c>
      <c r="B130" s="25">
        <f>B129+1</f>
        <v>78</v>
      </c>
      <c r="C130" s="25" t="s">
        <v>248</v>
      </c>
      <c r="D130" s="23" t="s">
        <v>191</v>
      </c>
      <c r="E130" s="25" t="s">
        <v>82</v>
      </c>
      <c r="F130" s="23" t="s">
        <v>71</v>
      </c>
      <c r="G130" s="66">
        <v>3.0249999999999999</v>
      </c>
      <c r="H130" s="27"/>
      <c r="I130" s="27">
        <f t="shared" si="13"/>
        <v>0</v>
      </c>
    </row>
    <row r="131" spans="1:14" s="3" customFormat="1" ht="22.5" x14ac:dyDescent="0.2">
      <c r="A131" s="3" t="s">
        <v>17</v>
      </c>
      <c r="B131" s="25">
        <f>B130+1</f>
        <v>79</v>
      </c>
      <c r="C131" s="25" t="s">
        <v>248</v>
      </c>
      <c r="D131" s="23" t="s">
        <v>181</v>
      </c>
      <c r="E131" s="25" t="s">
        <v>84</v>
      </c>
      <c r="F131" s="23" t="s">
        <v>71</v>
      </c>
      <c r="G131" s="66">
        <f>G130</f>
        <v>3.0249999999999999</v>
      </c>
      <c r="H131" s="27"/>
      <c r="I131" s="27">
        <f t="shared" si="13"/>
        <v>0</v>
      </c>
    </row>
    <row r="132" spans="1:14" s="3" customFormat="1" ht="22.5" x14ac:dyDescent="0.2">
      <c r="A132" s="3" t="s">
        <v>17</v>
      </c>
      <c r="B132" s="25">
        <f>B131+1</f>
        <v>80</v>
      </c>
      <c r="C132" s="25" t="s">
        <v>249</v>
      </c>
      <c r="D132" s="23" t="s">
        <v>192</v>
      </c>
      <c r="E132" s="25" t="s">
        <v>105</v>
      </c>
      <c r="F132" s="23" t="s">
        <v>36</v>
      </c>
      <c r="G132" s="40">
        <v>20</v>
      </c>
      <c r="H132" s="27"/>
      <c r="I132" s="27">
        <f t="shared" si="13"/>
        <v>0</v>
      </c>
    </row>
    <row r="133" spans="1:14" s="3" customFormat="1" ht="56.25" x14ac:dyDescent="0.2">
      <c r="A133" s="3" t="s">
        <v>17</v>
      </c>
      <c r="B133" s="25">
        <f>B132+1</f>
        <v>81</v>
      </c>
      <c r="C133" s="25" t="s">
        <v>247</v>
      </c>
      <c r="D133" s="23" t="s">
        <v>193</v>
      </c>
      <c r="E133" s="25" t="s">
        <v>213</v>
      </c>
      <c r="F133" s="23" t="s">
        <v>34</v>
      </c>
      <c r="G133" s="67">
        <f>33.3+32.8</f>
        <v>66.099999999999994</v>
      </c>
      <c r="H133" s="27"/>
      <c r="I133" s="27">
        <f t="shared" si="13"/>
        <v>0</v>
      </c>
    </row>
    <row r="134" spans="1:14" s="2" customFormat="1" ht="11.25" customHeight="1" x14ac:dyDescent="0.2">
      <c r="B134" s="86" t="str">
        <f>CONCATENATE("Razem - ",E127)</f>
        <v>Razem - Płyty przejściowe</v>
      </c>
      <c r="C134" s="81"/>
      <c r="D134" s="80"/>
      <c r="E134" s="81"/>
      <c r="F134" s="81"/>
      <c r="G134" s="81"/>
      <c r="H134" s="81"/>
      <c r="I134" s="28">
        <f>SUM(I128:I133)</f>
        <v>0</v>
      </c>
    </row>
    <row r="135" spans="1:14" s="2" customFormat="1" ht="11.25" customHeight="1" x14ac:dyDescent="0.2">
      <c r="A135" s="2" t="s">
        <v>14</v>
      </c>
      <c r="B135" s="18" t="s">
        <v>106</v>
      </c>
      <c r="C135" s="19"/>
      <c r="D135" s="20" t="s">
        <v>283</v>
      </c>
      <c r="E135" s="21" t="s">
        <v>107</v>
      </c>
      <c r="F135" s="21"/>
      <c r="G135" s="21"/>
      <c r="H135" s="21"/>
      <c r="I135" s="22"/>
    </row>
    <row r="136" spans="1:14" s="3" customFormat="1" ht="22.5" x14ac:dyDescent="0.2">
      <c r="A136" s="3" t="s">
        <v>17</v>
      </c>
      <c r="B136" s="25">
        <f>B133+1</f>
        <v>82</v>
      </c>
      <c r="C136" s="25"/>
      <c r="D136" s="24" t="s">
        <v>194</v>
      </c>
      <c r="E136" s="25" t="s">
        <v>108</v>
      </c>
      <c r="F136" s="23" t="s">
        <v>29</v>
      </c>
      <c r="G136" s="26">
        <v>23</v>
      </c>
      <c r="H136" s="27"/>
      <c r="I136" s="27">
        <f>ROUND(G136*H136,2)</f>
        <v>0</v>
      </c>
    </row>
    <row r="137" spans="1:14" s="3" customFormat="1" ht="22.5" x14ac:dyDescent="0.2">
      <c r="A137" s="3" t="s">
        <v>17</v>
      </c>
      <c r="B137" s="25">
        <f>B136+1</f>
        <v>83</v>
      </c>
      <c r="C137" s="25"/>
      <c r="D137" s="23" t="s">
        <v>195</v>
      </c>
      <c r="E137" s="25" t="s">
        <v>43</v>
      </c>
      <c r="F137" s="23" t="s">
        <v>36</v>
      </c>
      <c r="G137" s="67">
        <v>2.0699999999999998</v>
      </c>
      <c r="H137" s="27"/>
      <c r="I137" s="27">
        <f>ROUND(G137*H137,2)</f>
        <v>0</v>
      </c>
    </row>
    <row r="138" spans="1:14" s="2" customFormat="1" ht="11.25" customHeight="1" x14ac:dyDescent="0.2">
      <c r="B138" s="86" t="str">
        <f>CONCATENATE("Razem - ",E135)</f>
        <v>Razem - Drenaż za płytami przejściowymi</v>
      </c>
      <c r="C138" s="81"/>
      <c r="D138" s="80"/>
      <c r="E138" s="81"/>
      <c r="F138" s="81"/>
      <c r="G138" s="81"/>
      <c r="H138" s="81"/>
      <c r="I138" s="28">
        <f>SUM(I136:I137)</f>
        <v>0</v>
      </c>
    </row>
    <row r="139" spans="1:14" s="2" customFormat="1" ht="11.25" customHeight="1" x14ac:dyDescent="0.2">
      <c r="A139" s="2" t="s">
        <v>14</v>
      </c>
      <c r="B139" s="18" t="s">
        <v>109</v>
      </c>
      <c r="C139" s="19"/>
      <c r="D139" s="20" t="s">
        <v>283</v>
      </c>
      <c r="E139" s="21" t="s">
        <v>110</v>
      </c>
      <c r="F139" s="21"/>
      <c r="G139" s="21"/>
      <c r="H139" s="21"/>
      <c r="I139" s="22"/>
      <c r="N139" s="12"/>
    </row>
    <row r="140" spans="1:14" s="3" customFormat="1" ht="33.75" x14ac:dyDescent="0.2">
      <c r="A140" s="3" t="s">
        <v>17</v>
      </c>
      <c r="B140" s="25">
        <f>B137+1</f>
        <v>84</v>
      </c>
      <c r="C140" s="25" t="s">
        <v>255</v>
      </c>
      <c r="D140" s="24" t="s">
        <v>196</v>
      </c>
      <c r="E140" s="25" t="s">
        <v>215</v>
      </c>
      <c r="F140" s="23" t="s">
        <v>29</v>
      </c>
      <c r="G140" s="26">
        <f>20+21+2*3</f>
        <v>47</v>
      </c>
      <c r="H140" s="27"/>
      <c r="I140" s="27">
        <f>ROUND(G140*H140,2)</f>
        <v>0</v>
      </c>
      <c r="N140" s="9"/>
    </row>
    <row r="141" spans="1:14" s="2" customFormat="1" ht="11.25" customHeight="1" x14ac:dyDescent="0.2">
      <c r="B141" s="86" t="str">
        <f>CONCATENATE("Razem - ",E139)</f>
        <v>Razem - Krawężnik  kamienny</v>
      </c>
      <c r="C141" s="81"/>
      <c r="D141" s="80"/>
      <c r="E141" s="81"/>
      <c r="F141" s="81"/>
      <c r="G141" s="81"/>
      <c r="H141" s="81"/>
      <c r="I141" s="28">
        <f>SUM(I140)</f>
        <v>0</v>
      </c>
      <c r="N141" s="12"/>
    </row>
    <row r="142" spans="1:14" s="2" customFormat="1" ht="11.25" customHeight="1" x14ac:dyDescent="0.2">
      <c r="A142" s="2" t="s">
        <v>14</v>
      </c>
      <c r="B142" s="18" t="s">
        <v>111</v>
      </c>
      <c r="C142" s="19"/>
      <c r="D142" s="20" t="s">
        <v>283</v>
      </c>
      <c r="E142" s="21" t="s">
        <v>112</v>
      </c>
      <c r="F142" s="21"/>
      <c r="G142" s="21"/>
      <c r="H142" s="21"/>
      <c r="I142" s="22"/>
      <c r="N142" s="12"/>
    </row>
    <row r="143" spans="1:14" s="3" customFormat="1" ht="33.75" x14ac:dyDescent="0.2">
      <c r="A143" s="3" t="s">
        <v>17</v>
      </c>
      <c r="B143" s="25">
        <f>B140+1</f>
        <v>85</v>
      </c>
      <c r="C143" s="25" t="s">
        <v>247</v>
      </c>
      <c r="D143" s="24" t="s">
        <v>192</v>
      </c>
      <c r="E143" s="25" t="s">
        <v>113</v>
      </c>
      <c r="F143" s="23" t="s">
        <v>36</v>
      </c>
      <c r="G143" s="67">
        <v>1</v>
      </c>
      <c r="H143" s="27"/>
      <c r="I143" s="27">
        <f t="shared" ref="I143:I149" si="14">ROUND(G143*H143,2)</f>
        <v>0</v>
      </c>
      <c r="N143" s="9"/>
    </row>
    <row r="144" spans="1:14" s="3" customFormat="1" ht="22.5" x14ac:dyDescent="0.2">
      <c r="A144" s="3" t="s">
        <v>17</v>
      </c>
      <c r="B144" s="25">
        <f t="shared" ref="B144:B149" si="15">B143+1</f>
        <v>86</v>
      </c>
      <c r="C144" s="25" t="s">
        <v>252</v>
      </c>
      <c r="D144" s="23" t="s">
        <v>212</v>
      </c>
      <c r="E144" s="25" t="s">
        <v>114</v>
      </c>
      <c r="F144" s="23" t="s">
        <v>29</v>
      </c>
      <c r="G144" s="67">
        <f>20+21</f>
        <v>41</v>
      </c>
      <c r="H144" s="27"/>
      <c r="I144" s="27">
        <f t="shared" si="14"/>
        <v>0</v>
      </c>
    </row>
    <row r="145" spans="1:9" s="3" customFormat="1" ht="22.5" x14ac:dyDescent="0.2">
      <c r="A145" s="3" t="s">
        <v>17</v>
      </c>
      <c r="B145" s="25">
        <f t="shared" si="15"/>
        <v>87</v>
      </c>
      <c r="C145" s="25" t="s">
        <v>249</v>
      </c>
      <c r="D145" s="23" t="s">
        <v>197</v>
      </c>
      <c r="E145" s="25" t="s">
        <v>115</v>
      </c>
      <c r="F145" s="23" t="s">
        <v>34</v>
      </c>
      <c r="G145" s="67">
        <v>5</v>
      </c>
      <c r="H145" s="27"/>
      <c r="I145" s="27">
        <f t="shared" si="14"/>
        <v>0</v>
      </c>
    </row>
    <row r="146" spans="1:9" s="3" customFormat="1" ht="22.5" x14ac:dyDescent="0.2">
      <c r="A146" s="3" t="s">
        <v>17</v>
      </c>
      <c r="B146" s="25">
        <f t="shared" si="15"/>
        <v>88</v>
      </c>
      <c r="C146" s="25" t="s">
        <v>248</v>
      </c>
      <c r="D146" s="23" t="s">
        <v>180</v>
      </c>
      <c r="E146" s="25" t="s">
        <v>83</v>
      </c>
      <c r="F146" s="23" t="s">
        <v>71</v>
      </c>
      <c r="G146" s="66">
        <v>1.8620000000000001</v>
      </c>
      <c r="H146" s="27"/>
      <c r="I146" s="27">
        <f t="shared" si="14"/>
        <v>0</v>
      </c>
    </row>
    <row r="147" spans="1:9" s="3" customFormat="1" ht="22.5" x14ac:dyDescent="0.2">
      <c r="A147" s="3" t="s">
        <v>17</v>
      </c>
      <c r="B147" s="25">
        <f t="shared" si="15"/>
        <v>89</v>
      </c>
      <c r="C147" s="25" t="s">
        <v>248</v>
      </c>
      <c r="D147" s="23" t="s">
        <v>182</v>
      </c>
      <c r="E147" s="25" t="s">
        <v>85</v>
      </c>
      <c r="F147" s="23" t="s">
        <v>71</v>
      </c>
      <c r="G147" s="66">
        <f>G146</f>
        <v>1.8620000000000001</v>
      </c>
      <c r="H147" s="27"/>
      <c r="I147" s="27">
        <f t="shared" si="14"/>
        <v>0</v>
      </c>
    </row>
    <row r="148" spans="1:9" s="3" customFormat="1" ht="22.5" x14ac:dyDescent="0.2">
      <c r="A148" s="3" t="s">
        <v>17</v>
      </c>
      <c r="B148" s="25">
        <f t="shared" si="15"/>
        <v>90</v>
      </c>
      <c r="C148" s="25" t="s">
        <v>256</v>
      </c>
      <c r="D148" s="23" t="s">
        <v>198</v>
      </c>
      <c r="E148" s="25" t="s">
        <v>257</v>
      </c>
      <c r="F148" s="23" t="s">
        <v>29</v>
      </c>
      <c r="G148" s="40">
        <f>3*21+1*20</f>
        <v>83</v>
      </c>
      <c r="H148" s="27"/>
      <c r="I148" s="27">
        <f t="shared" si="14"/>
        <v>0</v>
      </c>
    </row>
    <row r="149" spans="1:9" s="3" customFormat="1" ht="22.5" x14ac:dyDescent="0.2">
      <c r="A149" s="3" t="s">
        <v>17</v>
      </c>
      <c r="B149" s="25">
        <f t="shared" si="15"/>
        <v>91</v>
      </c>
      <c r="C149" s="25" t="s">
        <v>249</v>
      </c>
      <c r="D149" s="23" t="s">
        <v>199</v>
      </c>
      <c r="E149" s="25" t="s">
        <v>116</v>
      </c>
      <c r="F149" s="23" t="s">
        <v>36</v>
      </c>
      <c r="G149" s="40">
        <v>15</v>
      </c>
      <c r="H149" s="27"/>
      <c r="I149" s="27">
        <f t="shared" si="14"/>
        <v>0</v>
      </c>
    </row>
    <row r="150" spans="1:9" s="2" customFormat="1" ht="11.25" customHeight="1" x14ac:dyDescent="0.2">
      <c r="B150" s="86" t="str">
        <f>CONCATENATE("Razem - ",E142)</f>
        <v>Razem - Kapy chodnikowe</v>
      </c>
      <c r="C150" s="81"/>
      <c r="D150" s="80"/>
      <c r="E150" s="81"/>
      <c r="F150" s="81"/>
      <c r="G150" s="81"/>
      <c r="H150" s="81"/>
      <c r="I150" s="28">
        <f>SUM(I143:I149)</f>
        <v>0</v>
      </c>
    </row>
    <row r="151" spans="1:9" s="2" customFormat="1" ht="11.25" customHeight="1" x14ac:dyDescent="0.2">
      <c r="A151" s="2" t="s">
        <v>14</v>
      </c>
      <c r="B151" s="18" t="s">
        <v>117</v>
      </c>
      <c r="C151" s="19"/>
      <c r="D151" s="20" t="s">
        <v>283</v>
      </c>
      <c r="E151" s="21" t="s">
        <v>118</v>
      </c>
      <c r="F151" s="21"/>
      <c r="G151" s="21"/>
      <c r="H151" s="21"/>
      <c r="I151" s="22"/>
    </row>
    <row r="152" spans="1:9" s="3" customFormat="1" ht="22.5" x14ac:dyDescent="0.2">
      <c r="A152" s="3" t="s">
        <v>17</v>
      </c>
      <c r="B152" s="25">
        <f>B149+1</f>
        <v>92</v>
      </c>
      <c r="C152" s="25" t="s">
        <v>281</v>
      </c>
      <c r="D152" s="24" t="s">
        <v>200</v>
      </c>
      <c r="E152" s="25" t="s">
        <v>119</v>
      </c>
      <c r="F152" s="23" t="s">
        <v>29</v>
      </c>
      <c r="G152" s="26">
        <f>21+20</f>
        <v>41</v>
      </c>
      <c r="H152" s="68"/>
      <c r="I152" s="27">
        <f>ROUND(G152*H152,2)</f>
        <v>0</v>
      </c>
    </row>
    <row r="153" spans="1:9" s="2" customFormat="1" ht="11.25" customHeight="1" x14ac:dyDescent="0.2">
      <c r="B153" s="86" t="str">
        <f>CONCATENATE("Razem - ",E151)</f>
        <v>Razem - Bariery ochronne</v>
      </c>
      <c r="C153" s="81"/>
      <c r="D153" s="80"/>
      <c r="E153" s="81"/>
      <c r="F153" s="81"/>
      <c r="G153" s="81"/>
      <c r="H153" s="81"/>
      <c r="I153" s="28">
        <f>SUM(I152:I152)</f>
        <v>0</v>
      </c>
    </row>
    <row r="154" spans="1:9" s="2" customFormat="1" ht="11.25" x14ac:dyDescent="0.2">
      <c r="A154" s="2" t="s">
        <v>14</v>
      </c>
      <c r="B154" s="18" t="s">
        <v>120</v>
      </c>
      <c r="C154" s="19"/>
      <c r="D154" s="20" t="s">
        <v>283</v>
      </c>
      <c r="E154" s="21" t="s">
        <v>60</v>
      </c>
      <c r="F154" s="21"/>
      <c r="G154" s="21"/>
      <c r="H154" s="21"/>
      <c r="I154" s="22"/>
    </row>
    <row r="155" spans="1:9" s="3" customFormat="1" ht="22.5" x14ac:dyDescent="0.2">
      <c r="A155" s="3" t="s">
        <v>17</v>
      </c>
      <c r="B155" s="25">
        <f>B152+1</f>
        <v>93</v>
      </c>
      <c r="C155" s="37" t="s">
        <v>239</v>
      </c>
      <c r="D155" s="24" t="s">
        <v>201</v>
      </c>
      <c r="E155" s="25" t="s">
        <v>121</v>
      </c>
      <c r="F155" s="23" t="s">
        <v>34</v>
      </c>
      <c r="G155" s="26">
        <v>114</v>
      </c>
      <c r="H155" s="27"/>
      <c r="I155" s="27">
        <f>ROUND(G155*H155,2)</f>
        <v>0</v>
      </c>
    </row>
    <row r="156" spans="1:9" s="3" customFormat="1" ht="22.5" x14ac:dyDescent="0.2">
      <c r="A156" s="3" t="s">
        <v>17</v>
      </c>
      <c r="B156" s="25">
        <f>B155+1</f>
        <v>94</v>
      </c>
      <c r="C156" s="25" t="s">
        <v>240</v>
      </c>
      <c r="D156" s="23" t="s">
        <v>161</v>
      </c>
      <c r="E156" s="25" t="s">
        <v>282</v>
      </c>
      <c r="F156" s="23" t="s">
        <v>34</v>
      </c>
      <c r="G156" s="26">
        <f>G155</f>
        <v>114</v>
      </c>
      <c r="H156" s="27"/>
      <c r="I156" s="27">
        <f>ROUND(G156*H156,2)</f>
        <v>0</v>
      </c>
    </row>
    <row r="157" spans="1:9" s="3" customFormat="1" ht="22.5" x14ac:dyDescent="0.2">
      <c r="A157" s="3" t="s">
        <v>17</v>
      </c>
      <c r="B157" s="25">
        <f>B156+1</f>
        <v>95</v>
      </c>
      <c r="C157" s="25" t="s">
        <v>293</v>
      </c>
      <c r="D157" s="23" t="s">
        <v>212</v>
      </c>
      <c r="E157" s="25" t="s">
        <v>321</v>
      </c>
      <c r="F157" s="23" t="s">
        <v>34</v>
      </c>
      <c r="G157" s="67">
        <f>0.76*20+2.26*21</f>
        <v>62.66</v>
      </c>
      <c r="H157" s="27"/>
      <c r="I157" s="27">
        <f>ROUND(G157*H157,2)</f>
        <v>0</v>
      </c>
    </row>
    <row r="158" spans="1:9" s="2" customFormat="1" ht="11.25" customHeight="1" x14ac:dyDescent="0.2">
      <c r="B158" s="86" t="str">
        <f>CONCATENATE("Razem - ",E154)</f>
        <v>Razem - Nawierzchnie</v>
      </c>
      <c r="C158" s="81"/>
      <c r="D158" s="80"/>
      <c r="E158" s="81"/>
      <c r="F158" s="81"/>
      <c r="G158" s="81"/>
      <c r="H158" s="81"/>
      <c r="I158" s="28">
        <f>SUM(I155:I157)</f>
        <v>0</v>
      </c>
    </row>
    <row r="159" spans="1:9" s="2" customFormat="1" ht="11.25" x14ac:dyDescent="0.2">
      <c r="A159" s="2" t="s">
        <v>14</v>
      </c>
      <c r="B159" s="18" t="s">
        <v>122</v>
      </c>
      <c r="C159" s="19"/>
      <c r="D159" s="20" t="s">
        <v>283</v>
      </c>
      <c r="E159" s="21" t="s">
        <v>123</v>
      </c>
      <c r="F159" s="21"/>
      <c r="G159" s="21"/>
      <c r="H159" s="21"/>
      <c r="I159" s="22"/>
    </row>
    <row r="160" spans="1:9" s="3" customFormat="1" ht="22.5" x14ac:dyDescent="0.2">
      <c r="A160" s="3" t="s">
        <v>17</v>
      </c>
      <c r="B160" s="33">
        <f>B157+1</f>
        <v>96</v>
      </c>
      <c r="C160" s="33" t="s">
        <v>258</v>
      </c>
      <c r="D160" s="24" t="s">
        <v>212</v>
      </c>
      <c r="E160" s="25" t="s">
        <v>124</v>
      </c>
      <c r="F160" s="23" t="s">
        <v>29</v>
      </c>
      <c r="G160" s="40">
        <f>11.32+10.68</f>
        <v>22</v>
      </c>
      <c r="H160" s="27"/>
      <c r="I160" s="27">
        <f>ROUND(G160*H160,2)</f>
        <v>0</v>
      </c>
    </row>
    <row r="161" spans="1:12" s="2" customFormat="1" ht="11.25" customHeight="1" x14ac:dyDescent="0.2">
      <c r="B161" s="84" t="str">
        <f>CONCATENATE("Razem - ",E159)</f>
        <v>Razem - Dylatacje</v>
      </c>
      <c r="C161" s="85"/>
      <c r="D161" s="81"/>
      <c r="E161" s="81"/>
      <c r="F161" s="81"/>
      <c r="G161" s="81"/>
      <c r="H161" s="81"/>
      <c r="I161" s="28">
        <f>SUM(I160:I160)</f>
        <v>0</v>
      </c>
    </row>
    <row r="162" spans="1:12" s="2" customFormat="1" ht="11.25" customHeight="1" x14ac:dyDescent="0.2">
      <c r="B162" s="86" t="str">
        <f>CONCATENATE("Razem - ",E113)</f>
        <v>Razem - Wyposażenie</v>
      </c>
      <c r="C162" s="81"/>
      <c r="D162" s="80"/>
      <c r="E162" s="81"/>
      <c r="F162" s="81"/>
      <c r="G162" s="81"/>
      <c r="H162" s="81"/>
      <c r="I162" s="28">
        <f>SUM(I115,I118:I121,I124:I125,I128:I133,I136:I137,I140,I143:I149,I152:I152,I155:I157,I160:I160)</f>
        <v>0</v>
      </c>
    </row>
    <row r="163" spans="1:12" s="2" customFormat="1" ht="11.25" customHeight="1" x14ac:dyDescent="0.2">
      <c r="A163" s="2" t="s">
        <v>14</v>
      </c>
      <c r="B163" s="18" t="s">
        <v>125</v>
      </c>
      <c r="C163" s="19"/>
      <c r="D163" s="20" t="s">
        <v>283</v>
      </c>
      <c r="E163" s="73" t="s">
        <v>126</v>
      </c>
      <c r="F163" s="74"/>
      <c r="G163" s="74"/>
      <c r="H163" s="74"/>
      <c r="I163" s="22"/>
    </row>
    <row r="164" spans="1:12" s="3" customFormat="1" ht="22.5" x14ac:dyDescent="0.2">
      <c r="A164" s="3" t="s">
        <v>17</v>
      </c>
      <c r="B164" s="25">
        <f>B160+1</f>
        <v>97</v>
      </c>
      <c r="C164" s="25" t="s">
        <v>260</v>
      </c>
      <c r="D164" s="24" t="s">
        <v>202</v>
      </c>
      <c r="E164" s="25" t="s">
        <v>127</v>
      </c>
      <c r="F164" s="23" t="s">
        <v>34</v>
      </c>
      <c r="G164" s="67">
        <f>ROUND(10.8*14.93+6.73+6.37,2)</f>
        <v>174.34</v>
      </c>
      <c r="H164" s="27"/>
      <c r="I164" s="27">
        <f>ROUND(G164*H164,2)</f>
        <v>0</v>
      </c>
      <c r="K164" s="10"/>
      <c r="L164" s="11"/>
    </row>
    <row r="165" spans="1:12" s="3" customFormat="1" ht="33.75" x14ac:dyDescent="0.2">
      <c r="A165" s="3" t="s">
        <v>17</v>
      </c>
      <c r="B165" s="25">
        <f>B164+1</f>
        <v>98</v>
      </c>
      <c r="C165" s="25" t="s">
        <v>260</v>
      </c>
      <c r="D165" s="23" t="s">
        <v>203</v>
      </c>
      <c r="E165" s="25" t="s">
        <v>128</v>
      </c>
      <c r="F165" s="23" t="s">
        <v>34</v>
      </c>
      <c r="G165" s="67">
        <f>G164</f>
        <v>174.34</v>
      </c>
      <c r="H165" s="27"/>
      <c r="I165" s="27">
        <f>ROUND(G165*H165,2)</f>
        <v>0</v>
      </c>
    </row>
    <row r="166" spans="1:12" s="3" customFormat="1" ht="22.5" x14ac:dyDescent="0.2">
      <c r="A166" s="3" t="s">
        <v>17</v>
      </c>
      <c r="B166" s="25">
        <f>B165+1</f>
        <v>99</v>
      </c>
      <c r="C166" s="25" t="s">
        <v>260</v>
      </c>
      <c r="D166" s="23" t="s">
        <v>204</v>
      </c>
      <c r="E166" s="25" t="s">
        <v>129</v>
      </c>
      <c r="F166" s="23" t="s">
        <v>34</v>
      </c>
      <c r="G166" s="67">
        <f>ROUND((9.6+5.8+9.92*0.28+12.4+1.3+0.63*2.41+1.6+2.5)+(11.2+6+9.37*0.28+11.7+2.5+0.63*2.5+2+0.59*2.74),1)</f>
        <v>76.7</v>
      </c>
      <c r="H166" s="27"/>
      <c r="I166" s="27">
        <f>ROUND(G166*H166,2)</f>
        <v>0</v>
      </c>
    </row>
    <row r="167" spans="1:12" s="3" customFormat="1" ht="33.75" x14ac:dyDescent="0.2">
      <c r="A167" s="3" t="s">
        <v>17</v>
      </c>
      <c r="B167" s="25">
        <f>B166+1</f>
        <v>100</v>
      </c>
      <c r="C167" s="25" t="s">
        <v>260</v>
      </c>
      <c r="D167" s="23" t="s">
        <v>205</v>
      </c>
      <c r="E167" s="25" t="s">
        <v>216</v>
      </c>
      <c r="F167" s="23" t="s">
        <v>34</v>
      </c>
      <c r="G167" s="67">
        <f>G166</f>
        <v>76.7</v>
      </c>
      <c r="H167" s="27"/>
      <c r="I167" s="27">
        <f>ROUND(G167*H167,2)</f>
        <v>0</v>
      </c>
    </row>
    <row r="168" spans="1:12" s="2" customFormat="1" ht="11.25" customHeight="1" x14ac:dyDescent="0.2">
      <c r="B168" s="86" t="str">
        <f>CONCATENATE("Razem - ",E163)</f>
        <v>Razem - Zabezpieczenie antykorozyjne powierzchni betonowych powłoką akrylową</v>
      </c>
      <c r="C168" s="81"/>
      <c r="D168" s="80"/>
      <c r="E168" s="81"/>
      <c r="F168" s="81"/>
      <c r="G168" s="81"/>
      <c r="H168" s="81"/>
      <c r="I168" s="28">
        <f>SUM(I164:I167)</f>
        <v>0</v>
      </c>
    </row>
    <row r="169" spans="1:12" s="2" customFormat="1" ht="11.25" customHeight="1" x14ac:dyDescent="0.2">
      <c r="A169" s="2" t="s">
        <v>14</v>
      </c>
      <c r="B169" s="18" t="s">
        <v>130</v>
      </c>
      <c r="C169" s="19"/>
      <c r="D169" s="20" t="s">
        <v>283</v>
      </c>
      <c r="E169" s="21" t="s">
        <v>131</v>
      </c>
      <c r="F169" s="21"/>
      <c r="G169" s="21"/>
      <c r="H169" s="21"/>
      <c r="I169" s="22"/>
    </row>
    <row r="170" spans="1:12" s="3" customFormat="1" ht="22.5" x14ac:dyDescent="0.2">
      <c r="A170" s="3" t="s">
        <v>17</v>
      </c>
      <c r="B170" s="25">
        <f>B167+1</f>
        <v>101</v>
      </c>
      <c r="C170" s="25" t="s">
        <v>261</v>
      </c>
      <c r="D170" s="24" t="s">
        <v>206</v>
      </c>
      <c r="E170" s="25" t="s">
        <v>132</v>
      </c>
      <c r="F170" s="23" t="s">
        <v>36</v>
      </c>
      <c r="G170" s="40">
        <f>(6+4+6+4.3)*0.3*1</f>
        <v>6.09</v>
      </c>
      <c r="H170" s="27"/>
      <c r="I170" s="27">
        <f>ROUND(G170*H170,2)</f>
        <v>0</v>
      </c>
    </row>
    <row r="171" spans="1:12" s="3" customFormat="1" ht="22.5" x14ac:dyDescent="0.2">
      <c r="B171" s="25">
        <f>B170+1</f>
        <v>102</v>
      </c>
      <c r="C171" s="25" t="s">
        <v>261</v>
      </c>
      <c r="D171" s="23" t="s">
        <v>207</v>
      </c>
      <c r="E171" s="25" t="s">
        <v>133</v>
      </c>
      <c r="F171" s="23" t="s">
        <v>34</v>
      </c>
      <c r="G171" s="40">
        <f>(14+11.5+13.5+19)*1.4</f>
        <v>81.199999999999989</v>
      </c>
      <c r="H171" s="27"/>
      <c r="I171" s="27">
        <f>ROUND(G171*H171,2)</f>
        <v>0</v>
      </c>
    </row>
    <row r="172" spans="1:12" s="3" customFormat="1" ht="22.5" x14ac:dyDescent="0.2">
      <c r="B172" s="25">
        <f>B171+1</f>
        <v>103</v>
      </c>
      <c r="C172" s="25" t="s">
        <v>254</v>
      </c>
      <c r="D172" s="36" t="s">
        <v>154</v>
      </c>
      <c r="E172" s="37" t="s">
        <v>45</v>
      </c>
      <c r="F172" s="23" t="s">
        <v>29</v>
      </c>
      <c r="G172" s="40">
        <v>3</v>
      </c>
      <c r="H172" s="27"/>
      <c r="I172" s="27">
        <f t="shared" ref="I172:I173" si="16">ROUND(G172*H172,2)</f>
        <v>0</v>
      </c>
    </row>
    <row r="173" spans="1:12" s="3" customFormat="1" ht="24" customHeight="1" x14ac:dyDescent="0.2">
      <c r="A173" s="3" t="s">
        <v>17</v>
      </c>
      <c r="B173" s="25">
        <f>B172+1</f>
        <v>104</v>
      </c>
      <c r="C173" s="25"/>
      <c r="D173" s="36" t="s">
        <v>323</v>
      </c>
      <c r="E173" s="37" t="s">
        <v>322</v>
      </c>
      <c r="F173" s="23" t="s">
        <v>44</v>
      </c>
      <c r="G173" s="40">
        <v>1</v>
      </c>
      <c r="H173" s="27"/>
      <c r="I173" s="27">
        <f t="shared" si="16"/>
        <v>0</v>
      </c>
    </row>
    <row r="174" spans="1:12" s="2" customFormat="1" ht="11.25" customHeight="1" x14ac:dyDescent="0.2">
      <c r="B174" s="86" t="str">
        <f>CONCATENATE("Razem - ",E169)</f>
        <v>Razem - Obrukowanie stożków i skarp</v>
      </c>
      <c r="C174" s="81"/>
      <c r="D174" s="81"/>
      <c r="E174" s="81"/>
      <c r="F174" s="81"/>
      <c r="G174" s="81"/>
      <c r="H174" s="81"/>
      <c r="I174" s="28">
        <f>SUM(I170:I173)</f>
        <v>0</v>
      </c>
    </row>
    <row r="175" spans="1:12" s="2" customFormat="1" ht="11.25" customHeight="1" x14ac:dyDescent="0.2">
      <c r="B175" s="86" t="str">
        <f>CONCATENATE("Razem - ",E75)</f>
        <v>Razem - Most</v>
      </c>
      <c r="C175" s="81"/>
      <c r="D175" s="80"/>
      <c r="E175" s="81"/>
      <c r="F175" s="81"/>
      <c r="G175" s="81"/>
      <c r="H175" s="81"/>
      <c r="I175" s="28">
        <f>SUM(I77,I80:I88,I91:I93,I96:I104,I107:I111,I115,I118:I121,I124:I125,I128:I133,I136:I137,I140,I143:I149,I152:I152,I155:I157,I160:I160,I164:I167,I170:I173)</f>
        <v>0</v>
      </c>
    </row>
    <row r="176" spans="1:12" s="2" customFormat="1" ht="11.25" x14ac:dyDescent="0.2">
      <c r="A176" s="2" t="s">
        <v>14</v>
      </c>
      <c r="B176" s="18" t="s">
        <v>26</v>
      </c>
      <c r="C176" s="19"/>
      <c r="D176" s="20" t="s">
        <v>284</v>
      </c>
      <c r="E176" s="29" t="s">
        <v>137</v>
      </c>
      <c r="F176" s="29"/>
      <c r="G176" s="29"/>
      <c r="H176" s="29"/>
      <c r="I176" s="30"/>
    </row>
    <row r="177" spans="1:10" s="2" customFormat="1" ht="45" x14ac:dyDescent="0.2">
      <c r="B177" s="25">
        <f>B173+1</f>
        <v>105</v>
      </c>
      <c r="C177" s="25" t="s">
        <v>228</v>
      </c>
      <c r="D177" s="24" t="s">
        <v>151</v>
      </c>
      <c r="E177" s="25" t="s">
        <v>40</v>
      </c>
      <c r="F177" s="23" t="s">
        <v>36</v>
      </c>
      <c r="G177" s="26">
        <f>2*30*8</f>
        <v>480</v>
      </c>
      <c r="H177" s="27"/>
      <c r="I177" s="27">
        <f>ROUND(G177*H177,2)</f>
        <v>0</v>
      </c>
    </row>
    <row r="178" spans="1:10" s="3" customFormat="1" ht="22.5" x14ac:dyDescent="0.2">
      <c r="A178" s="3" t="s">
        <v>17</v>
      </c>
      <c r="B178" s="25">
        <f>B177+1</f>
        <v>106</v>
      </c>
      <c r="C178" s="25" t="s">
        <v>262</v>
      </c>
      <c r="D178" s="24" t="s">
        <v>211</v>
      </c>
      <c r="E178" s="52" t="s">
        <v>138</v>
      </c>
      <c r="F178" s="24" t="s">
        <v>36</v>
      </c>
      <c r="G178" s="53">
        <f>(1.9+0.85)/2*2.6*(28+22)</f>
        <v>178.75</v>
      </c>
      <c r="H178" s="54"/>
      <c r="I178" s="54">
        <f>ROUND(G178*H178,2)</f>
        <v>0</v>
      </c>
    </row>
    <row r="179" spans="1:10" s="2" customFormat="1" ht="11.25" customHeight="1" x14ac:dyDescent="0.2">
      <c r="B179" s="82" t="str">
        <f>CONCATENATE("Razem - ",E176)</f>
        <v>Razem - Umocnienia</v>
      </c>
      <c r="C179" s="82"/>
      <c r="D179" s="82"/>
      <c r="E179" s="82"/>
      <c r="F179" s="82"/>
      <c r="G179" s="82"/>
      <c r="H179" s="82"/>
      <c r="I179" s="69">
        <f>SUM(I177:I178)</f>
        <v>0</v>
      </c>
    </row>
    <row r="180" spans="1:10" x14ac:dyDescent="0.2">
      <c r="B180" s="70"/>
      <c r="C180" s="70"/>
      <c r="D180" s="70"/>
      <c r="E180" s="70"/>
      <c r="F180" s="70"/>
      <c r="G180" s="83" t="s">
        <v>139</v>
      </c>
      <c r="H180" s="83"/>
      <c r="I180" s="71"/>
    </row>
    <row r="181" spans="1:10" x14ac:dyDescent="0.2">
      <c r="B181" s="70"/>
      <c r="C181" s="70"/>
      <c r="D181" s="70"/>
      <c r="E181" s="70"/>
      <c r="F181" s="70"/>
      <c r="G181" s="83" t="s">
        <v>140</v>
      </c>
      <c r="H181" s="83"/>
      <c r="I181" s="72"/>
    </row>
    <row r="182" spans="1:10" x14ac:dyDescent="0.2">
      <c r="B182" s="70"/>
      <c r="C182" s="70"/>
      <c r="D182" s="70"/>
      <c r="E182" s="70"/>
      <c r="F182" s="70"/>
      <c r="G182" s="83" t="s">
        <v>141</v>
      </c>
      <c r="H182" s="83"/>
      <c r="I182" s="72"/>
    </row>
    <row r="183" spans="1:10" x14ac:dyDescent="0.2">
      <c r="B183" s="5"/>
      <c r="C183" s="5"/>
      <c r="D183" s="5"/>
      <c r="F183" s="5"/>
      <c r="G183" s="6"/>
      <c r="I183" s="5"/>
    </row>
    <row r="184" spans="1:10" x14ac:dyDescent="0.2">
      <c r="J184" s="8"/>
    </row>
    <row r="188" spans="1:10" x14ac:dyDescent="0.2">
      <c r="B188" s="7"/>
      <c r="C188" s="7"/>
      <c r="E188" s="5"/>
    </row>
  </sheetData>
  <mergeCells count="46">
    <mergeCell ref="B33:H33"/>
    <mergeCell ref="B2:I2"/>
    <mergeCell ref="B7:H7"/>
    <mergeCell ref="B12:H12"/>
    <mergeCell ref="B22:H22"/>
    <mergeCell ref="B27:H27"/>
    <mergeCell ref="K62:N62"/>
    <mergeCell ref="E63:I63"/>
    <mergeCell ref="E35:I35"/>
    <mergeCell ref="B38:H38"/>
    <mergeCell ref="B41:H41"/>
    <mergeCell ref="E42:I42"/>
    <mergeCell ref="B44:H44"/>
    <mergeCell ref="B45:H45"/>
    <mergeCell ref="B89:H89"/>
    <mergeCell ref="E46:I46"/>
    <mergeCell ref="B49:H49"/>
    <mergeCell ref="B56:H56"/>
    <mergeCell ref="B62:H62"/>
    <mergeCell ref="B67:H67"/>
    <mergeCell ref="E68:I68"/>
    <mergeCell ref="B73:H73"/>
    <mergeCell ref="B74:H74"/>
    <mergeCell ref="B78:H78"/>
    <mergeCell ref="B158:H158"/>
    <mergeCell ref="B94:H94"/>
    <mergeCell ref="B105:H105"/>
    <mergeCell ref="B112:H112"/>
    <mergeCell ref="B116:H116"/>
    <mergeCell ref="B122:H122"/>
    <mergeCell ref="B126:H126"/>
    <mergeCell ref="B134:H134"/>
    <mergeCell ref="B138:H138"/>
    <mergeCell ref="B141:H141"/>
    <mergeCell ref="B150:H150"/>
    <mergeCell ref="B153:H153"/>
    <mergeCell ref="B179:H179"/>
    <mergeCell ref="G180:H180"/>
    <mergeCell ref="G181:H181"/>
    <mergeCell ref="G182:H182"/>
    <mergeCell ref="B161:H161"/>
    <mergeCell ref="B162:H162"/>
    <mergeCell ref="E163:H163"/>
    <mergeCell ref="B168:H168"/>
    <mergeCell ref="B174:H174"/>
    <mergeCell ref="B175:H175"/>
  </mergeCells>
  <pageMargins left="0.78740157480314965" right="0.39370078740157483" top="0.78740157480314965" bottom="0.78740157480314965" header="0.51181102362204722" footer="0.51181102362204722"/>
  <pageSetup paperSize="9" scale="80" firstPageNumber="4294967295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 ofertowy</vt:lpstr>
      <vt:lpstr>'Koszt ofertowy'!Obszar_wydruku</vt:lpstr>
      <vt:lpstr>'Koszt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Gryglak</dc:creator>
  <cp:lastModifiedBy>Marta</cp:lastModifiedBy>
  <cp:lastPrinted>2019-05-06T09:56:49Z</cp:lastPrinted>
  <dcterms:created xsi:type="dcterms:W3CDTF">2016-02-11T09:56:44Z</dcterms:created>
  <dcterms:modified xsi:type="dcterms:W3CDTF">2019-05-29T05:22:35Z</dcterms:modified>
</cp:coreProperties>
</file>